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1240" activeTab="0"/>
  </bookViews>
  <sheets>
    <sheet name="Приложение_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 " sheetId="7" r:id="rId7"/>
    <sheet name="Приложение 8" sheetId="8" r:id="rId8"/>
    <sheet name="Приложение 9" sheetId="9" r:id="rId9"/>
  </sheets>
  <externalReferences>
    <externalReference r:id="rId12"/>
    <externalReference r:id="rId13"/>
  </externalReferences>
  <definedNames>
    <definedName name="_xlnm._FilterDatabase" localSheetId="3" hidden="1">'Приложение 4'!$A$14:$H$346</definedName>
    <definedName name="_xlnm._FilterDatabase" localSheetId="4" hidden="1">'Приложение 5'!$A$15:$I$347</definedName>
    <definedName name="_xlnm.Print_Area" localSheetId="0">'Приложение_1'!$A$1:$E$142</definedName>
  </definedNames>
  <calcPr fullCalcOnLoad="1"/>
</workbook>
</file>

<file path=xl/sharedStrings.xml><?xml version="1.0" encoding="utf-8"?>
<sst xmlns="http://schemas.openxmlformats.org/spreadsheetml/2006/main" count="5698" uniqueCount="775">
  <si>
    <t>701</t>
  </si>
  <si>
    <t xml:space="preserve">Государственная пошлина за выдачу разрешения на установку рекламной конструкции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</si>
  <si>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</si>
  <si>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</si>
  <si>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</si>
  <si>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</si>
  <si>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</si>
  <si>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</si>
  <si>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</si>
  <si>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</si>
  <si>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</si>
  <si>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</si>
  <si>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Прочие неналоговые доходы бюджетов муниципальных районов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</si>
  <si>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</si>
  <si>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Выполнение отдельных государственных полномочий по государственному регулированию цен (тарифов)</t>
  </si>
  <si>
    <t>Прочие безвозмездные поступления в бюджеты муниципальных районов</t>
  </si>
  <si>
    <t>Приложение № 3</t>
  </si>
  <si>
    <t>муниципального образования</t>
  </si>
  <si>
    <t>"Ленский район"</t>
  </si>
  <si>
    <t>КБК</t>
  </si>
  <si>
    <t>Наименование</t>
  </si>
  <si>
    <t>Сумма на 2022 год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</si>
  <si>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</si>
  <si>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</si>
  <si>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</si>
  <si>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</si>
  <si>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</si>
  <si>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</si>
  <si>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</si>
  <si>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</si>
  <si>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</si>
  <si>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</si>
  <si>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</si>
  <si>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000 1 03 00000 00 0000 000</t>
  </si>
  <si>
    <t>НАЛОГИ НА ТОВАРЫ (РАБОТЫ, УСЛУГИ), РЕАЛИЗУЕМЫЕ НА ТЕРРИТОРИИ РОССИЙСКОЙ ФЕДЕРАЦИИ</t>
  </si>
  <si>
    <t xml:space="preserve">100 1 03 02231 01 0000 110
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</si>
  <si>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</si>
  <si>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</si>
  <si>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</si>
  <si>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100 1 03 02251 01 0000 110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</si>
  <si>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</si>
  <si>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100 1 03 02261 01 0000 110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</si>
  <si>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</si>
  <si>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</si>
  <si>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</si>
  <si>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</si>
  <si>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</si>
  <si>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</si>
  <si>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</si>
  <si>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</si>
  <si>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</si>
  <si>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</si>
  <si>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</si>
  <si>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</si>
  <si>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</si>
  <si>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</si>
  <si>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</si>
  <si>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</si>
  <si>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</si>
  <si>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</si>
  <si>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</si>
  <si>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</si>
  <si>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</si>
  <si>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</si>
  <si>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</si>
  <si>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</si>
  <si>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</si>
  <si>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</si>
  <si>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</si>
  <si>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</si>
  <si>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</si>
  <si>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</si>
  <si>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</si>
  <si>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</si>
  <si>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</si>
  <si>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</si>
  <si>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</si>
  <si>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</si>
  <si>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</si>
  <si>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</si>
  <si>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000 112 0000000 0000 000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</si>
  <si>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</si>
  <si>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</si>
  <si>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</si>
  <si>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Плата за размещение отходов производства и потребления
</t>
  </si>
  <si>
    <t>000 113 00000 00 0000 000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</si>
  <si>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</si>
  <si>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</si>
  <si>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</si>
  <si>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</si>
  <si>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</si>
  <si>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</si>
  <si>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</si>
  <si>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</si>
  <si>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</si>
  <si>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</si>
  <si>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</si>
  <si>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</si>
  <si>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</si>
  <si>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</si>
  <si>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</si>
  <si>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701 1 13 01995 05 0036 130</t>
  </si>
  <si>
    <t>701 1 13 01995 05 0037 130</t>
  </si>
  <si>
    <t>701 1 13 01995 05 0039 130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</si>
  <si>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</si>
  <si>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</si>
  <si>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</si>
  <si>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</si>
  <si>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</si>
  <si>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</si>
  <si>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</si>
  <si>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</si>
  <si>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</si>
  <si>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</si>
  <si>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</si>
  <si>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</si>
  <si>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</si>
  <si>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</si>
  <si>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</si>
  <si>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</si>
  <si>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</si>
  <si>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</si>
  <si>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</si>
  <si>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</si>
  <si>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</si>
  <si>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</si>
  <si>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</si>
  <si>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</si>
  <si>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</si>
  <si>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</si>
  <si>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</si>
  <si>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</si>
  <si>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</si>
  <si>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</si>
  <si>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</si>
  <si>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</si>
  <si>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т.ч.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</si>
  <si>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</si>
  <si>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</si>
  <si>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Субсидия на  организацию отдыха детей в каникулярное время </t>
  </si>
  <si>
    <t>701 2 02 02999 05 6233 151</t>
  </si>
  <si>
    <t>Создание и развитие инфраструктцры поддержки субьектов малого предпринимательства бизнес-инкубатор</t>
  </si>
  <si>
    <t>701 2 02 29999 05 6235 151</t>
  </si>
  <si>
    <t>Субсидия на эксплуатацию и содержание сооружений инженерной защиты</t>
  </si>
  <si>
    <t>701 2 02 02999 05 6242 151</t>
  </si>
  <si>
    <t>Содействие во внедрении материалов, оборудования, технологий имеющих высокую энергетическую эффективность</t>
  </si>
  <si>
    <t>701 2 02 30000 00 0000 150</t>
  </si>
  <si>
    <t>Субвенции бюджетам субъектов Российской Федерации и муниципальных образований, в т.ч.</t>
  </si>
  <si>
    <t>Субвенция на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</si>
  <si>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701 2 02 30024 05 6327 150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</si>
  <si>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</si>
  <si>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</si>
  <si>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</si>
  <si>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</si>
  <si>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</si>
  <si>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</si>
  <si>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</si>
  <si>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</si>
  <si>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налоговые</t>
  </si>
  <si>
    <t>неналоговые</t>
  </si>
  <si>
    <t>собственные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</si>
  <si>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</si>
  <si>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</si>
  <si>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твердых коммунальных отходов</t>
  </si>
  <si>
    <t>Прочие доходы от оказания платных услуг (работ) получателями средств бюджетов муниципальных районов  (ДОБ "АЛМАЗ")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</si>
  <si>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2022 год и на плановый период 2023 и 2024 годов</t>
  </si>
  <si>
    <t>Сумма на 2024 год</t>
  </si>
  <si>
    <t>701 1 13 01995 05 0018 130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</si>
  <si>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</si>
  <si>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</si>
  <si>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182 1 05 01050 01 0000 110</t>
  </si>
  <si>
    <t>Минимальный налог, зачисляемый в бюджеты субъектов Российской Федерации</t>
  </si>
  <si>
    <t>048 1 12 01010 01 6000 120</t>
  </si>
  <si>
    <t>048 1 12 01030 01 6000 120</t>
  </si>
  <si>
    <t>048 1 12 01041 01 6000 120</t>
  </si>
  <si>
    <t>048 1 12 01042 01 6000 120</t>
  </si>
  <si>
    <t>048 1 12 01070 01 6000 120</t>
  </si>
  <si>
    <t>701 114 02053 05 0000 410</t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</si>
  <si>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</si>
  <si>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</si>
  <si>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</si>
  <si>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</si>
  <si>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</si>
  <si>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</si>
  <si>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</si>
  <si>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</si>
  <si>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</si>
  <si>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</si>
  <si>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</si>
  <si>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</si>
  <si>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Общее образование: Образование, открытое в будущее</t>
  </si>
  <si>
    <t>1220000000</t>
  </si>
  <si>
    <t>Развитие дошкольного образования</t>
  </si>
  <si>
    <t>1220100000</t>
  </si>
  <si>
    <t>Развитие общего образования</t>
  </si>
  <si>
    <t>1220200000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</si>
  <si>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</si>
  <si>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</si>
  <si>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</si>
  <si>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</si>
  <si>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</si>
  <si>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</si>
  <si>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</si>
  <si>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</si>
  <si>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</si>
  <si>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</si>
  <si>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</si>
  <si>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</si>
  <si>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</si>
  <si>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Развитие музейного дела</t>
  </si>
  <si>
    <t>Модернизация и укрепление ресурсов  учреждений культуры и искусства</t>
  </si>
  <si>
    <t>1070000000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</si>
  <si>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</si>
  <si>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</si>
  <si>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2600000000</t>
  </si>
  <si>
    <t xml:space="preserve">Развитие  предпринимательства </t>
  </si>
  <si>
    <t>2630000000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</si>
  <si>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</si>
  <si>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</si>
  <si>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</si>
  <si>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</si>
  <si>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</si>
  <si>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Развитие растениеводства</t>
  </si>
  <si>
    <t>800</t>
  </si>
  <si>
    <t>Развитие пищевой и перерабатывающей промышленности</t>
  </si>
  <si>
    <t>Развитие транспортного комплекса муниципального образования  «Ленский район»</t>
  </si>
  <si>
    <t>1800000000</t>
  </si>
  <si>
    <t>Воздушный транспорт</t>
  </si>
  <si>
    <t>1830000000</t>
  </si>
  <si>
    <t>Водный транспорт</t>
  </si>
  <si>
    <t>1840000000</t>
  </si>
  <si>
    <t>Дорожное хозяйство</t>
  </si>
  <si>
    <t>1850000000</t>
  </si>
  <si>
    <t>Реализация молодежной  политики и патриотического воспитания граждан в Ленском районе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</si>
  <si>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</si>
  <si>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</si>
  <si>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</si>
  <si>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</si>
  <si>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</si>
  <si>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</si>
  <si>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</si>
  <si>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</si>
  <si>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Мотивирование населения на ведение трезвого здорового образа жизни</t>
  </si>
  <si>
    <t>1160000000</t>
  </si>
  <si>
    <t>200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</si>
  <si>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</si>
  <si>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</si>
  <si>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</si>
  <si>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</si>
  <si>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>300</t>
  </si>
  <si>
    <t xml:space="preserve">Охрана труда в Ленском районе </t>
  </si>
  <si>
    <t>1540000000</t>
  </si>
  <si>
    <t>Обеспечение качественным жильем и повышение качества жилищно-коммунальных услуг в Ленском районе</t>
  </si>
  <si>
    <t>2000000000</t>
  </si>
  <si>
    <t>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</si>
  <si>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</si>
  <si>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</si>
  <si>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</si>
  <si>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</si>
  <si>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</si>
  <si>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</si>
  <si>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</si>
  <si>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Развитие системы управления недвижимостью</t>
  </si>
  <si>
    <t>3120000000</t>
  </si>
  <si>
    <t>Капитальные вложения в объекты государственной (муниципальной) собственности</t>
  </si>
  <si>
    <t>Развитие системы управления земельными ресурсами</t>
  </si>
  <si>
    <t>3140000000</t>
  </si>
  <si>
    <t>Развитие физической культуры и спорта в Ленском районе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</si>
  <si>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</si>
  <si>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</si>
  <si>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</si>
  <si>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</si>
  <si>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</si>
  <si>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</si>
  <si>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Профилактика правонарушений в Ленском районе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</si>
  <si>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</si>
  <si>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</si>
  <si>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</si>
  <si>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</si>
  <si>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</si>
  <si>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Охрана окружающей среды и природных ресурсов в Ленском районе</t>
  </si>
  <si>
    <t>Обеспечение экологической безопасности на территории муниципального образования</t>
  </si>
  <si>
    <t>Экологическое образование и просвещение населения на территории муниципального образования</t>
  </si>
  <si>
    <t xml:space="preserve">Развитие здравоохранения в Ленском районе </t>
  </si>
  <si>
    <t>Совершенствование оказания медицинский помощи, включая профилактику заболеваний и формирование здорового образа жизни</t>
  </si>
  <si>
    <t>Комплексное развитие сельских территорий Ленского района</t>
  </si>
  <si>
    <t>Создание и развитие инфраструктуры на сельских территориях</t>
  </si>
  <si>
    <t>Приложение № 6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</si>
  <si>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2022 год и плановый период  2023 и  2024 годов
</t>
    </r>
    <r>
      <rPr>
        <sz val="12"/>
        <rFont val="Arial"/>
        <family val="2"/>
      </rPr>
      <t xml:space="preserve">(без федеральных и республиканских средств)
</t>
    </r>
  </si>
  <si>
    <t>1030100000</t>
  </si>
  <si>
    <t>1030200000</t>
  </si>
  <si>
    <t>25К0000000</t>
  </si>
  <si>
    <t>Рост производства продукции отраслей агропромышленного комплекса</t>
  </si>
  <si>
    <t>Поддержка скотоводства</t>
  </si>
  <si>
    <t>Софинансирование реализации мероприятий муниципальных программ (подпрограмм) развития кормопроизводства (за счет средств МБ)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</si>
  <si>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</si>
  <si>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</si>
  <si>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</si>
  <si>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</si>
  <si>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</si>
  <si>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</si>
  <si>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</si>
  <si>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</si>
  <si>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</si>
  <si>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</si>
  <si>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</si>
  <si>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</si>
  <si>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</si>
  <si>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</si>
  <si>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</si>
  <si>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</si>
  <si>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</si>
  <si>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</si>
  <si>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</si>
  <si>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</si>
  <si>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</si>
  <si>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</si>
  <si>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</si>
  <si>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</si>
  <si>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</si>
  <si>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</si>
  <si>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</si>
  <si>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</si>
  <si>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</si>
  <si>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</si>
  <si>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</si>
  <si>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</si>
  <si>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</si>
  <si>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</si>
  <si>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</si>
  <si>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Расходы на исполнение судебных решений о взыскании из бюджета по искам юридических и физических лиц</t>
  </si>
  <si>
    <t>9950091017</t>
  </si>
  <si>
    <t>Выполнение других обязательств муниципальных образований</t>
  </si>
  <si>
    <t>9950091019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</si>
  <si>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</si>
  <si>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</si>
  <si>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</si>
  <si>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</si>
  <si>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</si>
  <si>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</si>
  <si>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</si>
  <si>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</si>
  <si>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</si>
  <si>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</si>
  <si>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Связь и информатика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</si>
  <si>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</si>
  <si>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</si>
  <si>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</si>
  <si>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</si>
  <si>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</si>
  <si>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</si>
  <si>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</si>
  <si>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</si>
  <si>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</si>
  <si>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</si>
  <si>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</si>
  <si>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</si>
  <si>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</si>
  <si>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</si>
  <si>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</si>
  <si>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</si>
  <si>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</si>
  <si>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</si>
  <si>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</si>
  <si>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</si>
  <si>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</si>
  <si>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</si>
  <si>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</si>
  <si>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</si>
  <si>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</si>
  <si>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</si>
  <si>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</si>
  <si>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</si>
  <si>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</si>
  <si>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</si>
  <si>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</si>
  <si>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</si>
  <si>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</si>
  <si>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</si>
  <si>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</si>
  <si>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</si>
  <si>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</si>
  <si>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</si>
  <si>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</si>
  <si>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</rPr>
      <t>(без федеральных и республиканских средств)</t>
    </r>
  </si>
  <si>
    <t>Приложение № 7</t>
  </si>
  <si>
    <t>9950091013</t>
  </si>
  <si>
    <t>Расходы в области культурно-досуговой деятельности</t>
  </si>
  <si>
    <t>Проведение выборов и референдумов глав</t>
  </si>
  <si>
    <t>9930010040</t>
  </si>
  <si>
    <t>9930000000</t>
  </si>
  <si>
    <t>Проведение выборов и референдумов</t>
  </si>
  <si>
    <t>Обеспечение проведения выборов и референдумов</t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</si>
  <si>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</si>
  <si>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</si>
  <si>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</si>
  <si>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</si>
  <si>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</si>
  <si>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Развитие предпринимательства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</si>
  <si>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</si>
  <si>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</si>
  <si>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</si>
  <si>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Особо охраняемые природные территории и биологические ресурсы</t>
  </si>
  <si>
    <t>Молодежная политика и оздоровление детей</t>
  </si>
  <si>
    <t>Реализация молодежной политики и патриотического воспитания граждан в Ленском районе</t>
  </si>
  <si>
    <t>Мотивирование населения на ведение трезвого здорового образа жизни.</t>
  </si>
  <si>
    <t xml:space="preserve">Развитие образования в Ленском районе  </t>
  </si>
  <si>
    <t>Обеспечивающая программа</t>
  </si>
  <si>
    <t>Сохранение культурного и исторического наследия, расширение доступа населения к культурным ценностям и информаци</t>
  </si>
  <si>
    <t>3400000000</t>
  </si>
  <si>
    <t>3440000000</t>
  </si>
  <si>
    <t>Другие вопросы в области культуры, кинематографии</t>
  </si>
  <si>
    <t>3200000000</t>
  </si>
  <si>
    <t>3210000000</t>
  </si>
  <si>
    <t>Реализация молодежной, семейной политики и патриотического воспитания граждан в Ленском районе</t>
  </si>
  <si>
    <t xml:space="preserve">Профилактика правонарушений в Ленском районе </t>
  </si>
  <si>
    <t>Массовый спорт</t>
  </si>
  <si>
    <t>Администрация муниципального образования "Ленский район" Республики Саха (Якутия)</t>
  </si>
  <si>
    <t>Приложение № 8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</si>
  <si>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</rPr>
      <t>(без федеральных и республиканских средств)</t>
    </r>
    <r>
      <rPr>
        <b/>
        <sz val="12"/>
        <rFont val="Arial"/>
        <family val="2"/>
      </rPr>
      <t xml:space="preserve">
</t>
    </r>
  </si>
  <si>
    <t>Вед.</t>
  </si>
  <si>
    <t xml:space="preserve">Ведомственная структура расходов  бюджета муниципального образования "Ленский район" на 2022 год и плановый период на 2023 и 2024 годов 
(без федеральных и республиканских средств)
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</si>
  <si>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</si>
  <si>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</si>
  <si>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</si>
  <si>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</si>
  <si>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</si>
  <si>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</si>
  <si>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</si>
  <si>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</si>
  <si>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</si>
  <si>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</si>
  <si>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</si>
  <si>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</si>
  <si>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9950063300</t>
  </si>
  <si>
    <t>9950063320</t>
  </si>
  <si>
    <t>2510063250</t>
  </si>
  <si>
    <t>9960063360</t>
  </si>
  <si>
    <t>1270000000</t>
  </si>
  <si>
    <t>1270063380</t>
  </si>
  <si>
    <t>1260062010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</si>
  <si>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</si>
  <si>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Выполнение отдельных государственных полномочий по выплате ежемесячного денежного вознаграждения приемному родителю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</si>
  <si>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</si>
  <si>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по опеке и попечительству в отношении несовершеннолетних</t>
  </si>
  <si>
    <t>9950063310</t>
  </si>
  <si>
    <t>Дотация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</si>
  <si>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(за счет средств ГБ)</t>
  </si>
  <si>
    <t>9960061010</t>
  </si>
  <si>
    <t>РБ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</si>
  <si>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</si>
  <si>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2022 год и плановый период 2023и 2024 годов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</si>
  <si>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</si>
  <si>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</si>
  <si>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</si>
  <si>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</si>
  <si>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</si>
  <si>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</si>
  <si>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</si>
  <si>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</si>
  <si>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</si>
  <si>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</si>
  <si>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</si>
  <si>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</si>
  <si>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</si>
  <si>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25К0063470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</si>
  <si>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</si>
  <si>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</si>
  <si>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</si>
  <si>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</si>
  <si>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</si>
  <si>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</si>
  <si>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</si>
  <si>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</si>
  <si>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</si>
  <si>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1220263020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</si>
  <si>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</si>
  <si>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</si>
  <si>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</si>
  <si>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</si>
  <si>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</si>
  <si>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</si>
  <si>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</si>
  <si>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1240022001</t>
  </si>
  <si>
    <t>Организация отдыха детей в каникулярное время (за счет средств ГБ)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</si>
  <si>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</si>
  <si>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</si>
  <si>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1210022001</t>
  </si>
  <si>
    <t>1030122001</t>
  </si>
  <si>
    <t>1030222001</t>
  </si>
  <si>
    <t>Создание модельных муниципальных библиотек (за счет средств ГБ)</t>
  </si>
  <si>
    <t>1030162670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</si>
  <si>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</si>
  <si>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</si>
  <si>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</si>
  <si>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</si>
  <si>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</si>
  <si>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</si>
  <si>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</si>
  <si>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</si>
  <si>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9950063370</t>
  </si>
  <si>
    <t>9950063410</t>
  </si>
  <si>
    <t>9950063420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</si>
  <si>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</si>
  <si>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</si>
  <si>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</si>
  <si>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</si>
  <si>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</si>
  <si>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</si>
  <si>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</si>
  <si>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</si>
  <si>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</si>
  <si>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</si>
  <si>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</si>
  <si>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</si>
  <si>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</si>
  <si>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1410022001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</si>
  <si>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</si>
  <si>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</si>
  <si>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</si>
  <si>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</si>
  <si>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</si>
  <si>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</si>
  <si>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</si>
  <si>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</si>
  <si>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</si>
  <si>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</si>
  <si>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</si>
  <si>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</si>
  <si>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</si>
  <si>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</si>
  <si>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</si>
  <si>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</si>
  <si>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</si>
  <si>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</si>
  <si>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</si>
  <si>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</si>
  <si>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</si>
  <si>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</si>
  <si>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</si>
  <si>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</si>
  <si>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</si>
  <si>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</si>
  <si>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</si>
  <si>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</si>
  <si>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</si>
  <si>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</si>
  <si>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</si>
  <si>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</si>
  <si>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</si>
  <si>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</si>
  <si>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</si>
  <si>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</si>
  <si>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</si>
  <si>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4.1.</t>
  </si>
  <si>
    <t>4.2.</t>
  </si>
  <si>
    <t>4.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</si>
  <si>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</si>
  <si>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6.2.</t>
  </si>
  <si>
    <t>6.3.</t>
  </si>
  <si>
    <t>6.4.</t>
  </si>
  <si>
    <t>6.5.</t>
  </si>
  <si>
    <t>6.6.</t>
  </si>
  <si>
    <t>5.</t>
  </si>
  <si>
    <t>Межбюджетные трансферты общего характера бюджетам субъектов Российской Федерации и муниципальным образованиям</t>
  </si>
  <si>
    <t>Государственный бюджет Республики Саха (Якутия)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</si>
  <si>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2022 год и плановый период 2023 и 2024 годов </t>
  </si>
  <si>
    <t>Муниципальные ценные бумаги</t>
  </si>
  <si>
    <t>Прочие источники внутреннего финансирования дефицита</t>
  </si>
  <si>
    <t>погашение задолженности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</si>
  <si>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</si>
  <si>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</si>
  <si>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</si>
  <si>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</si>
  <si>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</si>
  <si>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</si>
  <si>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</si>
  <si>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</si>
  <si>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</si>
  <si>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</si>
  <si>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</si>
  <si>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</si>
  <si>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</si>
  <si>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</si>
  <si>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</si>
  <si>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</si>
  <si>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</si>
  <si>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</si>
  <si>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</si>
  <si>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</si>
  <si>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</si>
  <si>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</si>
  <si>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</si>
  <si>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</si>
  <si>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</si>
  <si>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</si>
  <si>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</si>
  <si>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</si>
  <si>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</si>
  <si>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</si>
  <si>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</si>
  <si>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</si>
  <si>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</si>
  <si>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</si>
  <si>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</si>
  <si>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</si>
  <si>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</si>
  <si>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</si>
  <si>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</si>
  <si>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</si>
  <si>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</si>
  <si>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</si>
  <si>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</si>
  <si>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</si>
  <si>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 xml:space="preserve">Источники финансирования дефицита бюджета муниципального образования "Ленский район" на 2022 год и плановый период 2023 и 2024 годов  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</si>
  <si>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</si>
  <si>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</si>
  <si>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</si>
  <si>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</si>
  <si>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</si>
  <si>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</si>
  <si>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</si>
  <si>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</si>
  <si>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</si>
  <si>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Софинансирование за счет местного бюджета 20% на строительство объекта: Культурно-спортивный комплекс в селе Южная Нюя</t>
  </si>
  <si>
    <t>Софинансирование за счет местного бюджета 20% на строительство объекта: Дом культуры в селе Чамча</t>
  </si>
  <si>
    <t>Расходы на реконструкцию спортивного зала в поселке Пеледуй</t>
  </si>
  <si>
    <t xml:space="preserve">Благоустройство сквера старожилов </t>
  </si>
  <si>
    <t>Строительство объекта :Физкультурно -спортивная зона МБОУ "СОШ №4 г. Ленска" (сумма отражена как субсидия учреждению на иные цели по виду расхода 600)</t>
  </si>
  <si>
    <t>Приложение № 2</t>
  </si>
  <si>
    <t>Приложение № 4</t>
  </si>
  <si>
    <t>Приложение № 5</t>
  </si>
  <si>
    <t>Библиотечное дело</t>
  </si>
  <si>
    <t>Музейное дело</t>
  </si>
  <si>
    <t>99500Р1012</t>
  </si>
  <si>
    <t>Единовременная выплата к знаку отличия "За заслуги перед Ленским районом"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</si>
  <si>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</si>
  <si>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</si>
  <si>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Ежемесячное денежное вознаграждение Почетным гражданам Ленского района</t>
  </si>
  <si>
    <t>99500Р1011</t>
  </si>
  <si>
    <t>Поддержка табунного коневодства</t>
  </si>
  <si>
    <t>Приложение № 1</t>
  </si>
  <si>
    <t>701 2 02 30024 05 6336 150</t>
  </si>
  <si>
    <t>701 2 02 25511 05 0000 150</t>
  </si>
  <si>
    <t>Субсидии на проведение комплексных кадастровых работ в рамках федеральной целевой программы "Национальная система пространственных данных"</t>
  </si>
  <si>
    <t>701 2 02 20000 00 0000 150</t>
  </si>
  <si>
    <t>Разработка проектно-сметной документации четырехэтажного двухсекционного 37 квартирного жилого дома, г. Ленск ул. Заозерная д.43 «А»</t>
  </si>
  <si>
    <t>Выполнение работ по актуализации проектно-сметной документации по объекту «Физкультурно-оздоровительный комплекс с плавательным бассейном и хоккейным кортом в городе Ленске Ленского улуса (района) РС (Я)»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</si>
  <si>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</si>
  <si>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31200L5110</t>
  </si>
  <si>
    <t>Устройство септика  спортивного зала п.Пеледуй</t>
  </si>
  <si>
    <t>Приложение № 9</t>
  </si>
  <si>
    <t>Иные дотации</t>
  </si>
  <si>
    <t>Предоставление дотации на поддержку мер по обеспечению сбалансированности местных бюджетов (за счет средств ГБ)</t>
  </si>
  <si>
    <t>9960061020</t>
  </si>
  <si>
    <t>Дотации бюджетам муниципальных районов на поддержку мер по обеспечению сбалансированности бюджетов</t>
  </si>
  <si>
    <t>701 2 02 15002 05 0000 150</t>
  </si>
  <si>
    <t>701 2 02 15000 00 0000 150</t>
  </si>
  <si>
    <t>701 2 02 15001 05 0000 150</t>
  </si>
  <si>
    <t>701 2 02 29999 05 6201 150</t>
  </si>
  <si>
    <t xml:space="preserve">Предоставление дотации на поддержку мер по обеспечению сбалансированности местных бюджетов </t>
  </si>
  <si>
    <t>2</t>
  </si>
  <si>
    <t>3.</t>
  </si>
  <si>
    <t>4.1.1.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</si>
  <si>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</si>
  <si>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</si>
  <si>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</si>
  <si>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</si>
  <si>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</si>
  <si>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</si>
  <si>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</si>
  <si>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</si>
  <si>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</si>
  <si>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</si>
  <si>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</si>
  <si>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701 2 02 20077 05 6421 150</t>
  </si>
  <si>
    <t xml:space="preserve">Софинансирование капитальных вложений в объекты общего образования муниципальной собственностии (или) приобретения объектов недвижимого имущества в муниципальную собственность для организаций общего образования </t>
  </si>
  <si>
    <t>1290064210</t>
  </si>
  <si>
    <t>Софинансирование капитальных вложений в объекты общего образования муниципальной собственности и (или) приобретения объектов недвижимого имущества в муниципальную собственность для организаций общего образования (Школа на 50 учащихся в с. Натора Ленского района) (за счет средств ГБ)</t>
  </si>
  <si>
    <t>701 2 02 25304 05 0000 150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</si>
  <si>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</si>
  <si>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701 2 02 25497 05 0000 150</t>
  </si>
  <si>
    <t xml:space="preserve">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</si>
  <si>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1850062120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</si>
  <si>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</si>
  <si>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</si>
  <si>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</t>
  </si>
  <si>
    <t>701 2 02 30024 05 6301 150</t>
  </si>
  <si>
    <t>701 2 02 30024 05 6302 150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</si>
  <si>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</si>
  <si>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701 2 02 30024 05 6303 150</t>
  </si>
  <si>
    <t>Субвенция на 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</si>
  <si>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701 2 02 30024 05 6311 150</t>
  </si>
  <si>
    <t>Субвенция на выполнение отдельных государственных полномочий по опеке и попечительству в отношении несовершеннолетних</t>
  </si>
  <si>
    <t>701 2 02 30024 05 6325 150</t>
  </si>
  <si>
    <t>Субвенции бюджетам муниципальных районов на выполнение передаваемых полномочий субъектов Российской Федерации, связанные с обеспечением осуществления отдельных государственных полномочий по поддержке сельскохозяйственного производства</t>
  </si>
  <si>
    <t>701 2 02 30024 05 6326 150</t>
  </si>
  <si>
    <t>Субвенция на 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</si>
  <si>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701 2 02 30024 05 6329 150</t>
  </si>
  <si>
    <t>Субвенции бюджетам муниципальных районов на выполнение передаваемых полномочий субъектов Российской Федерации (выполнение  отдельных государственных полномочий в области охраны труда)</t>
  </si>
  <si>
    <t>701 2 02 30024 05 6330 150</t>
  </si>
  <si>
    <t>Субвенция на выполнение отдельных государственных полномочий по созданию административных комиссий</t>
  </si>
  <si>
    <t>701 2 02 30024 05 6331 150</t>
  </si>
  <si>
    <t>Субвенция на выполнение отдельных государственных полномочий по исполнению функций комиссий по делам несовершеннолетних и защите их прав</t>
  </si>
  <si>
    <t>701 2 02 30024 05 6332 150</t>
  </si>
  <si>
    <t>701 2 02 30024 05 6333 150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</si>
  <si>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</si>
  <si>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701 2 02 30024 05 6335 150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</si>
  <si>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</si>
  <si>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Выполнение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 общих для человека и животных</t>
  </si>
  <si>
    <t>701 2 02 30024 05 6337 150</t>
  </si>
  <si>
    <t>701 2 02 30024 05 6338 150</t>
  </si>
  <si>
    <t>Субвенция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</si>
  <si>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701 2 02 30024 05 6340 150</t>
  </si>
  <si>
    <t>Единая субвенция  на выполнение отдельных государственных  полномочий  по предоставлению мер социальной поддержки детям сиротам и детям оставшимся без попечения родителей</t>
  </si>
  <si>
    <t>701 2 02 30024 05 6345 150</t>
  </si>
  <si>
    <t>Субвенция на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</si>
  <si>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701 2 02 30024 05 6346 150</t>
  </si>
  <si>
    <t>Субвенция на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</si>
  <si>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701 2 02 30024 05 6347 150</t>
  </si>
  <si>
    <t>Субвенция на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</si>
  <si>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701 2 02 30024 05 6348 150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</si>
  <si>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образовательные программы</t>
  </si>
  <si>
    <t>701 2 02 30029 05 6305 150</t>
  </si>
  <si>
    <t>701 2 02 35120 05 0000 150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</si>
  <si>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</si>
  <si>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701 2 02 35303 05 0000 150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</si>
  <si>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общегообразования, в тос числе адаптивные основные общеобразовательные прораммы</t>
  </si>
  <si>
    <t>Субсидии бюджетам муниципальных районов на реализацию мероприятий по обеспечению жильем молодых семей</t>
  </si>
  <si>
    <t>Прочие доходы от компенсации затрат бюджетов муниципальных районов</t>
  </si>
  <si>
    <t>1260010010</t>
  </si>
  <si>
    <t>Организация и обеспечение отдыха детей и их оздоровления</t>
  </si>
  <si>
    <t>701 2 02 29999 05 6212 150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</si>
  <si>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</si>
  <si>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Проведение государственной экспертизы сметной части проектной документации объекта капитального строительства «Культурно-спортивный комплекс в с. Нюя»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</si>
  <si>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</si>
  <si>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701 2 18 05010 05 0000 150</t>
  </si>
  <si>
    <t>701 2 07 05030 05 0000 150</t>
  </si>
  <si>
    <t>701 2 07 00000 00 0000 150</t>
  </si>
  <si>
    <t>9</t>
  </si>
  <si>
    <t xml:space="preserve">Оплата счетов, выставленных ЗЭС ПАО «Якутэнерго» на возмещение затрат за ТУ и ПИР по по объектам  «Культурно-спортивный комплекс в селе Южная Нюя», «Дом культуры в селе Беченча», «Дом культуры в селе Чамча», «Дом культуры в поселке  Витим»  </t>
  </si>
  <si>
    <t>701 2 18 60010 05 0000 150</t>
  </si>
  <si>
    <t>Прочие доходы от оказания платных услуг (работ) получателями средств бюджетов муниципальных районов (МКОО ДО "ЦДО "Сэргэ")</t>
  </si>
  <si>
    <t>701 1 13 01995 05 0044 130</t>
  </si>
  <si>
    <t>3110022001</t>
  </si>
  <si>
    <t>2.11.</t>
  </si>
  <si>
    <t xml:space="preserve">  Субсидия из государственного бюджета Республики Саха (Якутия) на разработку и внесение изменений в документы территориального планирования, градостроительного зонирования, планировки территорий</t>
  </si>
  <si>
    <t>701 2 02 02999 05 6221 150</t>
  </si>
  <si>
    <t>Прочие субсидии бюджетам муниципальных районов на софинансирование реализации мероприятий муниципальных программ (подпрограмм) развития кормопроизводства</t>
  </si>
  <si>
    <t>701 2 02 02999 05 6269 150</t>
  </si>
  <si>
    <t>Реализация градостроительной политики</t>
  </si>
  <si>
    <t>Разработка и внесение изменений в документы территориального планирования (за счет средств ГБ)</t>
  </si>
  <si>
    <t>Изъятие объектов недвижимого имущества для муниуипальных нужд</t>
  </si>
  <si>
    <t>ДОХОДЫ ОТ ОКАЗАНИЯ ПЛАТНЫХ УСЛУГ  И КОМПЕНСАЦИИ ЗАТРАТ ГОСУДАРСТВА</t>
  </si>
  <si>
    <t xml:space="preserve">  ШТРАФЫ, САНКЦИИ, ВОЗМЕЩЕНИЕ УЩЕРБА</t>
  </si>
  <si>
    <t>701 1 14 00000 00 0000 000</t>
  </si>
  <si>
    <t>701 1 14 06013 05 0000 430</t>
  </si>
  <si>
    <t>7011 14 06000 05 0000 430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</si>
  <si>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</si>
  <si>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</si>
  <si>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701 1 16 07010 05 0000 140</t>
  </si>
  <si>
    <t>701 1 16 00000 00 0000 000</t>
  </si>
  <si>
    <t>701 1 1610123 01 0000 140</t>
  </si>
  <si>
    <t>Софинансирование на приобретение квартир для детей-сирот и детей, оставшимся без попечения родителей</t>
  </si>
  <si>
    <t>182 1 06 06033 05 0000 110</t>
  </si>
  <si>
    <t>182 1 06 06043 05 0000 110</t>
  </si>
  <si>
    <t>701 1 08 03010 01 0000 110</t>
  </si>
  <si>
    <t>701 1 08 07150 01 0000 110</t>
  </si>
  <si>
    <t>701 1 11 05013 13 0000 120</t>
  </si>
  <si>
    <t>701 1 13 02995 05 0000 130</t>
  </si>
  <si>
    <t>000 1 14 06013 13 0000 430</t>
  </si>
  <si>
    <t>701 2 19 05000 05 0000 150</t>
  </si>
  <si>
    <t>решению Районного Совета депутатов</t>
  </si>
  <si>
    <r>
      <t xml:space="preserve"> </t>
    </r>
    <r>
      <rPr>
        <u val="single"/>
        <sz val="12"/>
        <rFont val="Times New Roman"/>
        <family val="1"/>
      </rPr>
      <t>№ 2-5____________________</t>
    </r>
  </si>
  <si>
    <r>
      <t xml:space="preserve"> от "</t>
    </r>
    <r>
      <rPr>
        <u val="single"/>
        <sz val="12"/>
        <rFont val="Times New Roman"/>
        <family val="1"/>
      </rPr>
      <t>23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сентября</t>
    </r>
    <r>
      <rPr>
        <sz val="12"/>
        <rFont val="Times New Roman"/>
        <family val="1"/>
      </rPr>
      <t xml:space="preserve"> 2022 г.</t>
    </r>
  </si>
</sst>
</file>

<file path=xl/styles.xml><?xml version="1.0" encoding="utf-8"?>
<styleSheet xmlns="http://schemas.openxmlformats.org/spreadsheetml/2006/main">
  <numFmts count="9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_-* #,##0.00\ _₽_-;\-* #,##0.00\ _₽_-;_-* &quot;-&quot;??\ _₽_-;_-@_-"/>
  </numFmts>
  <fonts count="10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3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69" fillId="28" borderId="2" applyNumberFormat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>
      <alignment/>
      <protection/>
    </xf>
    <xf numFmtId="0" fontId="80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0" fillId="33" borderId="0">
      <alignment/>
      <protection/>
    </xf>
    <xf numFmtId="0" fontId="80" fillId="34" borderId="0">
      <alignment/>
      <protection/>
    </xf>
    <xf numFmtId="0" fontId="80" fillId="0" borderId="0">
      <alignment horizontal="left" wrapText="1"/>
      <protection/>
    </xf>
    <xf numFmtId="0" fontId="80" fillId="0" borderId="0">
      <alignment wrapText="1"/>
      <protection/>
    </xf>
    <xf numFmtId="0" fontId="84" fillId="0" borderId="0">
      <alignment horizontal="center" wrapText="1"/>
      <protection/>
    </xf>
    <xf numFmtId="1" fontId="80" fillId="0" borderId="10">
      <alignment horizontal="center" vertical="top" shrinkToFit="1"/>
      <protection/>
    </xf>
    <xf numFmtId="0" fontId="84" fillId="0" borderId="0">
      <alignment horizontal="center"/>
      <protection/>
    </xf>
    <xf numFmtId="0" fontId="80" fillId="0" borderId="0">
      <alignment horizontal="right"/>
      <protection/>
    </xf>
    <xf numFmtId="0" fontId="80" fillId="33" borderId="11">
      <alignment/>
      <protection/>
    </xf>
    <xf numFmtId="0" fontId="80" fillId="34" borderId="11">
      <alignment/>
      <protection/>
    </xf>
    <xf numFmtId="0" fontId="80" fillId="0" borderId="10">
      <alignment horizontal="center" vertical="center" wrapText="1"/>
      <protection/>
    </xf>
    <xf numFmtId="0" fontId="80" fillId="33" borderId="12">
      <alignment/>
      <protection/>
    </xf>
    <xf numFmtId="0" fontId="80" fillId="34" borderId="12">
      <alignment/>
      <protection/>
    </xf>
    <xf numFmtId="49" fontId="80" fillId="0" borderId="10">
      <alignment horizontal="center" vertical="top" shrinkToFit="1"/>
      <protection/>
    </xf>
    <xf numFmtId="49" fontId="80" fillId="0" borderId="10">
      <alignment horizontal="left" vertical="top" wrapText="1" indent="2"/>
      <protection/>
    </xf>
    <xf numFmtId="0" fontId="80" fillId="33" borderId="13">
      <alignment/>
      <protection/>
    </xf>
    <xf numFmtId="0" fontId="85" fillId="0" borderId="10">
      <alignment horizontal="left"/>
      <protection/>
    </xf>
    <xf numFmtId="0" fontId="80" fillId="0" borderId="10">
      <alignment horizontal="center" vertical="top" wrapText="1"/>
      <protection/>
    </xf>
    <xf numFmtId="49" fontId="85" fillId="0" borderId="10">
      <alignment horizontal="left" vertical="top" shrinkToFit="1"/>
      <protection/>
    </xf>
    <xf numFmtId="0" fontId="80" fillId="33" borderId="13">
      <alignment/>
      <protection/>
    </xf>
    <xf numFmtId="4" fontId="80" fillId="0" borderId="10">
      <alignment horizontal="right" vertical="top" shrinkToFit="1"/>
      <protection/>
    </xf>
    <xf numFmtId="0" fontId="80" fillId="0" borderId="0">
      <alignment/>
      <protection/>
    </xf>
    <xf numFmtId="10" fontId="80" fillId="0" borderId="10">
      <alignment horizontal="center" vertical="top" shrinkToFit="1"/>
      <protection/>
    </xf>
    <xf numFmtId="0" fontId="80" fillId="0" borderId="10">
      <alignment horizontal="center" vertical="top" wrapText="1"/>
      <protection/>
    </xf>
    <xf numFmtId="0" fontId="80" fillId="0" borderId="0">
      <alignment horizontal="left" wrapText="1"/>
      <protection/>
    </xf>
    <xf numFmtId="0" fontId="80" fillId="34" borderId="13">
      <alignment/>
      <protection/>
    </xf>
    <xf numFmtId="0" fontId="80" fillId="0" borderId="10">
      <alignment horizontal="center" vertical="center" wrapText="1"/>
      <protection/>
    </xf>
    <xf numFmtId="49" fontId="80" fillId="0" borderId="10">
      <alignment horizontal="center" vertical="top" shrinkToFit="1"/>
      <protection/>
    </xf>
    <xf numFmtId="49" fontId="85" fillId="0" borderId="10">
      <alignment horizontal="left" vertical="top" shrinkToFit="1"/>
      <protection/>
    </xf>
    <xf numFmtId="0" fontId="80" fillId="0" borderId="10">
      <alignment horizontal="center" vertical="center" wrapText="1"/>
      <protection/>
    </xf>
    <xf numFmtId="4" fontId="80" fillId="0" borderId="10">
      <alignment horizontal="right" vertical="top" shrinkToFit="1"/>
      <protection/>
    </xf>
    <xf numFmtId="4" fontId="85" fillId="35" borderId="10">
      <alignment horizontal="right" vertical="top" shrinkToFit="1"/>
      <protection/>
    </xf>
    <xf numFmtId="49" fontId="85" fillId="0" borderId="10">
      <alignment horizontal="left" vertical="top" shrinkToFit="1"/>
      <protection/>
    </xf>
    <xf numFmtId="4" fontId="85" fillId="32" borderId="10">
      <alignment horizontal="right" vertical="top" shrinkToFit="1"/>
      <protection/>
    </xf>
    <xf numFmtId="10" fontId="85" fillId="35" borderId="10">
      <alignment horizontal="center" vertical="top" shrinkToFit="1"/>
      <protection/>
    </xf>
    <xf numFmtId="4" fontId="80" fillId="0" borderId="10">
      <alignment horizontal="right" vertical="top" shrinkToFit="1"/>
      <protection/>
    </xf>
    <xf numFmtId="0" fontId="80" fillId="0" borderId="10">
      <alignment horizontal="center" vertical="center" wrapText="1"/>
      <protection/>
    </xf>
    <xf numFmtId="0" fontId="80" fillId="0" borderId="0">
      <alignment/>
      <protection/>
    </xf>
    <xf numFmtId="4" fontId="85" fillId="35" borderId="10">
      <alignment horizontal="right" vertical="top" shrinkToFit="1"/>
      <protection/>
    </xf>
    <xf numFmtId="0" fontId="80" fillId="0" borderId="0">
      <alignment horizontal="left" wrapText="1"/>
      <protection/>
    </xf>
    <xf numFmtId="0" fontId="80" fillId="34" borderId="11">
      <alignment horizontal="left"/>
      <protection/>
    </xf>
    <xf numFmtId="0" fontId="80" fillId="0" borderId="0">
      <alignment horizontal="left" wrapText="1"/>
      <protection/>
    </xf>
    <xf numFmtId="10" fontId="80" fillId="0" borderId="10">
      <alignment horizontal="right" vertical="top" shrinkToFit="1"/>
      <protection/>
    </xf>
    <xf numFmtId="0" fontId="80" fillId="0" borderId="10">
      <alignment horizontal="left" vertical="top" wrapText="1"/>
      <protection/>
    </xf>
    <xf numFmtId="10" fontId="80" fillId="0" borderId="10">
      <alignment horizontal="center" vertical="top" shrinkToFit="1"/>
      <protection/>
    </xf>
    <xf numFmtId="10" fontId="85" fillId="32" borderId="10">
      <alignment horizontal="right" vertical="top" shrinkToFit="1"/>
      <protection/>
    </xf>
    <xf numFmtId="4" fontId="85" fillId="36" borderId="10">
      <alignment horizontal="right" vertical="top" shrinkToFit="1"/>
      <protection/>
    </xf>
    <xf numFmtId="10" fontId="85" fillId="35" borderId="10">
      <alignment horizontal="center" vertical="top" shrinkToFit="1"/>
      <protection/>
    </xf>
    <xf numFmtId="0" fontId="84" fillId="0" borderId="0">
      <alignment horizontal="center" wrapText="1"/>
      <protection/>
    </xf>
    <xf numFmtId="10" fontId="85" fillId="36" borderId="10">
      <alignment horizontal="center" vertical="top" shrinkToFit="1"/>
      <protection/>
    </xf>
    <xf numFmtId="0" fontId="84" fillId="0" borderId="0">
      <alignment horizontal="center" wrapText="1"/>
      <protection/>
    </xf>
    <xf numFmtId="0" fontId="84" fillId="0" borderId="0">
      <alignment horizontal="center"/>
      <protection/>
    </xf>
    <xf numFmtId="0" fontId="80" fillId="34" borderId="12">
      <alignment horizontal="left"/>
      <protection/>
    </xf>
    <xf numFmtId="0" fontId="84" fillId="0" borderId="0">
      <alignment horizontal="center"/>
      <protection/>
    </xf>
    <xf numFmtId="0" fontId="85" fillId="0" borderId="10">
      <alignment vertical="top" wrapText="1"/>
      <protection/>
    </xf>
    <xf numFmtId="0" fontId="80" fillId="34" borderId="13">
      <alignment horizontal="left"/>
      <protection/>
    </xf>
    <xf numFmtId="0" fontId="80" fillId="0" borderId="10">
      <alignment horizontal="left" vertical="top" wrapText="1"/>
      <protection/>
    </xf>
    <xf numFmtId="4" fontId="85" fillId="36" borderId="10">
      <alignment horizontal="right" vertical="top" shrinkToFit="1"/>
      <protection/>
    </xf>
    <xf numFmtId="0" fontId="80" fillId="34" borderId="0">
      <alignment horizontal="left"/>
      <protection/>
    </xf>
    <xf numFmtId="4" fontId="85" fillId="36" borderId="10">
      <alignment horizontal="right" vertical="top" shrinkToFit="1"/>
      <protection/>
    </xf>
    <xf numFmtId="10" fontId="85" fillId="36" borderId="10">
      <alignment horizontal="right" vertical="top" shrinkToFit="1"/>
      <protection/>
    </xf>
    <xf numFmtId="10" fontId="85" fillId="36" borderId="10">
      <alignment horizontal="center" vertical="top" shrinkToFit="1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86" fillId="30" borderId="1" applyNumberFormat="0" applyAlignment="0" applyProtection="0"/>
    <xf numFmtId="0" fontId="87" fillId="27" borderId="8" applyNumberFormat="0" applyAlignment="0" applyProtection="0"/>
    <xf numFmtId="0" fontId="88" fillId="27" borderId="1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28" borderId="2" applyNumberFormat="0" applyAlignment="0" applyProtection="0"/>
    <xf numFmtId="0" fontId="91" fillId="0" borderId="0" applyNumberFormat="0" applyFill="0" applyBorder="0" applyAlignment="0" applyProtection="0"/>
    <xf numFmtId="0" fontId="9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37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3" fillId="26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9" fontId="21" fillId="0" borderId="0" applyFont="0" applyFill="0" applyBorder="0" applyAlignment="0" applyProtection="0"/>
    <xf numFmtId="0" fontId="95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71" fillId="29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4" xfId="165" applyFont="1" applyFill="1" applyBorder="1" applyAlignment="1">
      <alignment horizontal="left" vertical="top" wrapText="1"/>
      <protection/>
    </xf>
    <xf numFmtId="0" fontId="12" fillId="0" borderId="14" xfId="165" applyFont="1" applyFill="1" applyBorder="1" applyAlignment="1">
      <alignment horizontal="justify" vertical="top" wrapText="1"/>
      <protection/>
    </xf>
    <xf numFmtId="0" fontId="5" fillId="0" borderId="14" xfId="165" applyFont="1" applyFill="1" applyBorder="1" applyAlignment="1">
      <alignment horizontal="justify" vertical="top" wrapText="1"/>
      <protection/>
    </xf>
    <xf numFmtId="49" fontId="12" fillId="0" borderId="14" xfId="165" applyNumberFormat="1" applyFont="1" applyFill="1" applyBorder="1" applyAlignment="1">
      <alignment vertical="top" wrapText="1"/>
      <protection/>
    </xf>
    <xf numFmtId="0" fontId="12" fillId="0" borderId="14" xfId="165" applyFont="1" applyFill="1" applyBorder="1" applyAlignment="1">
      <alignment horizontal="left" vertical="top" wrapText="1"/>
      <protection/>
    </xf>
    <xf numFmtId="4" fontId="12" fillId="0" borderId="14" xfId="165" applyNumberFormat="1" applyFont="1" applyFill="1" applyBorder="1" applyAlignment="1" applyProtection="1">
      <alignment horizontal="right" vertical="top" shrinkToFit="1"/>
      <protection locked="0"/>
    </xf>
    <xf numFmtId="0" fontId="12" fillId="0" borderId="15" xfId="165" applyFont="1" applyFill="1" applyBorder="1" applyAlignment="1">
      <alignment vertical="top" wrapText="1"/>
      <protection/>
    </xf>
    <xf numFmtId="49" fontId="12" fillId="0" borderId="14" xfId="0" applyNumberFormat="1" applyFont="1" applyFill="1" applyBorder="1" applyAlignment="1">
      <alignment horizontal="justify" vertical="center" wrapText="1"/>
    </xf>
    <xf numFmtId="0" fontId="5" fillId="0" borderId="14" xfId="165" applyFont="1" applyFill="1" applyBorder="1" applyAlignment="1">
      <alignment horizontal="right" vertical="top" wrapText="1"/>
      <protection/>
    </xf>
    <xf numFmtId="49" fontId="5" fillId="0" borderId="14" xfId="165" applyNumberFormat="1" applyFont="1" applyFill="1" applyBorder="1" applyAlignment="1">
      <alignment horizontal="left" vertical="top" shrinkToFit="1"/>
      <protection/>
    </xf>
    <xf numFmtId="49" fontId="12" fillId="0" borderId="14" xfId="165" applyNumberFormat="1" applyFont="1" applyFill="1" applyBorder="1" applyAlignment="1">
      <alignment horizontal="left" vertical="top" shrinkToFit="1"/>
      <protection/>
    </xf>
    <xf numFmtId="4" fontId="16" fillId="0" borderId="14" xfId="0" applyNumberFormat="1" applyFont="1" applyFill="1" applyBorder="1" applyAlignment="1" applyProtection="1">
      <alignment horizontal="right" vertical="center" shrinkToFit="1"/>
      <protection locked="0"/>
    </xf>
    <xf numFmtId="4" fontId="18" fillId="0" borderId="14" xfId="0" applyNumberFormat="1" applyFont="1" applyFill="1" applyBorder="1" applyAlignment="1">
      <alignment vertical="center"/>
    </xf>
    <xf numFmtId="49" fontId="12" fillId="0" borderId="14" xfId="165" applyNumberFormat="1" applyFont="1" applyFill="1" applyBorder="1" applyAlignment="1">
      <alignment vertical="top" shrinkToFit="1"/>
      <protection/>
    </xf>
    <xf numFmtId="4" fontId="12" fillId="0" borderId="14" xfId="0" applyNumberFormat="1" applyFont="1" applyFill="1" applyBorder="1" applyAlignment="1" applyProtection="1">
      <alignment horizontal="right" vertical="top" shrinkToFit="1"/>
      <protection locked="0"/>
    </xf>
    <xf numFmtId="4" fontId="12" fillId="0" borderId="14" xfId="0" applyNumberFormat="1" applyFont="1" applyFill="1" applyBorder="1" applyAlignment="1">
      <alignment vertical="center"/>
    </xf>
    <xf numFmtId="4" fontId="5" fillId="0" borderId="14" xfId="165" applyNumberFormat="1" applyFont="1" applyFill="1" applyBorder="1" applyAlignment="1" applyProtection="1">
      <alignment horizontal="right" vertical="top" shrinkToFi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14" xfId="0" applyNumberFormat="1" applyFont="1" applyFill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7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5" fillId="8" borderId="14" xfId="0" applyFont="1" applyFill="1" applyBorder="1" applyAlignment="1">
      <alignment wrapText="1" shrinkToFit="1"/>
    </xf>
    <xf numFmtId="49" fontId="5" fillId="8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10" borderId="14" xfId="67" applyFont="1" applyFill="1" applyBorder="1" applyAlignment="1">
      <alignment horizontal="left" vertical="center" wrapText="1" shrinkToFit="1"/>
    </xf>
    <xf numFmtId="49" fontId="5" fillId="10" borderId="14" xfId="0" applyNumberFormat="1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 shrinkToFi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wrapText="1" shrinkToFit="1"/>
    </xf>
    <xf numFmtId="49" fontId="5" fillId="11" borderId="14" xfId="285" applyNumberFormat="1" applyFont="1" applyFill="1" applyBorder="1" applyAlignment="1">
      <alignment horizontal="left" vertical="center" wrapText="1" shrinkToFit="1"/>
      <protection/>
    </xf>
    <xf numFmtId="49" fontId="5" fillId="11" borderId="14" xfId="0" applyNumberFormat="1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4" fontId="39" fillId="11" borderId="14" xfId="0" applyNumberFormat="1" applyFont="1" applyFill="1" applyBorder="1" applyAlignment="1">
      <alignment horizontal="right" vertical="center"/>
    </xf>
    <xf numFmtId="49" fontId="5" fillId="10" borderId="14" xfId="285" applyNumberFormat="1" applyFont="1" applyFill="1" applyBorder="1" applyAlignment="1" quotePrefix="1">
      <alignment horizontal="left" vertical="center" wrapText="1" shrinkToFit="1"/>
      <protection/>
    </xf>
    <xf numFmtId="0" fontId="5" fillId="10" borderId="14" xfId="0" applyFont="1" applyFill="1" applyBorder="1" applyAlignment="1" quotePrefix="1">
      <alignment wrapText="1" shrinkToFit="1"/>
    </xf>
    <xf numFmtId="0" fontId="5" fillId="10" borderId="14" xfId="0" applyFont="1" applyFill="1" applyBorder="1" applyAlignment="1">
      <alignment horizontal="left" vertical="center" wrapText="1" shrinkToFit="1"/>
    </xf>
    <xf numFmtId="0" fontId="5" fillId="10" borderId="16" xfId="0" applyFont="1" applyFill="1" applyBorder="1" applyAlignment="1">
      <alignment horizontal="center" vertical="center" wrapText="1"/>
    </xf>
    <xf numFmtId="4" fontId="39" fillId="10" borderId="14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49" fontId="5" fillId="10" borderId="14" xfId="285" applyNumberFormat="1" applyFont="1" applyFill="1" applyBorder="1" applyAlignment="1">
      <alignment horizontal="left" vertical="center" wrapText="1" shrinkToFit="1"/>
      <protection/>
    </xf>
    <xf numFmtId="4" fontId="12" fillId="0" borderId="14" xfId="0" applyNumberFormat="1" applyFont="1" applyFill="1" applyBorder="1" applyAlignment="1">
      <alignment horizontal="right" vertical="center"/>
    </xf>
    <xf numFmtId="4" fontId="5" fillId="8" borderId="14" xfId="0" applyNumberFormat="1" applyFont="1" applyFill="1" applyBorder="1" applyAlignment="1">
      <alignment horizontal="right" vertical="center"/>
    </xf>
    <xf numFmtId="0" fontId="5" fillId="0" borderId="14" xfId="67" applyFont="1" applyFill="1" applyBorder="1" applyAlignment="1">
      <alignment horizontal="left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wrapText="1" shrinkToFit="1"/>
    </xf>
    <xf numFmtId="0" fontId="5" fillId="0" borderId="14" xfId="0" applyFont="1" applyFill="1" applyBorder="1" applyAlignment="1" quotePrefix="1">
      <alignment wrapText="1" shrinkToFit="1"/>
    </xf>
    <xf numFmtId="49" fontId="5" fillId="8" borderId="14" xfId="0" applyNumberFormat="1" applyFont="1" applyFill="1" applyBorder="1" applyAlignment="1">
      <alignment wrapText="1" shrinkToFit="1"/>
    </xf>
    <xf numFmtId="49" fontId="5" fillId="8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8" fillId="38" borderId="0" xfId="0" applyFont="1" applyFill="1" applyAlignment="1">
      <alignment/>
    </xf>
    <xf numFmtId="0" fontId="4" fillId="38" borderId="0" xfId="0" applyFont="1" applyFill="1" applyAlignment="1">
      <alignment/>
    </xf>
    <xf numFmtId="4" fontId="12" fillId="38" borderId="14" xfId="0" applyNumberFormat="1" applyFont="1" applyFill="1" applyBorder="1" applyAlignment="1">
      <alignment horizontal="right" vertical="center"/>
    </xf>
    <xf numFmtId="49" fontId="16" fillId="0" borderId="14" xfId="113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 quotePrefix="1">
      <alignment wrapText="1" shrinkToFit="1"/>
    </xf>
    <xf numFmtId="0" fontId="5" fillId="39" borderId="14" xfId="0" applyFont="1" applyFill="1" applyBorder="1" applyAlignment="1">
      <alignment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 quotePrefix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12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wrapText="1" shrinkToFit="1"/>
    </xf>
    <xf numFmtId="4" fontId="5" fillId="0" borderId="14" xfId="0" applyNumberFormat="1" applyFont="1" applyFill="1" applyBorder="1" applyAlignment="1">
      <alignment/>
    </xf>
    <xf numFmtId="49" fontId="12" fillId="0" borderId="14" xfId="113" applyNumberFormat="1" applyFont="1" applyFill="1" applyBorder="1" applyAlignment="1" applyProtection="1">
      <alignment horizontal="center" shrinkToFit="1"/>
      <protection locked="0"/>
    </xf>
    <xf numFmtId="49" fontId="5" fillId="0" borderId="14" xfId="113" applyNumberFormat="1" applyFont="1" applyFill="1" applyBorder="1" applyAlignment="1" applyProtection="1">
      <alignment horizontal="center" shrinkToFit="1"/>
      <protection locked="0"/>
    </xf>
    <xf numFmtId="49" fontId="12" fillId="0" borderId="14" xfId="0" applyNumberFormat="1" applyFont="1" applyFill="1" applyBorder="1" applyAlignment="1">
      <alignment horizontal="left" wrapText="1" shrinkToFit="1"/>
    </xf>
    <xf numFmtId="49" fontId="5" fillId="0" borderId="1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shrinkToFit="1"/>
    </xf>
    <xf numFmtId="4" fontId="5" fillId="0" borderId="14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4" xfId="0" applyNumberFormat="1" applyFont="1" applyFill="1" applyBorder="1" applyAlignment="1">
      <alignment horizontal="left" vertical="top" wrapText="1" shrinkToFit="1"/>
    </xf>
    <xf numFmtId="49" fontId="12" fillId="0" borderId="14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left" vertical="top" wrapText="1" shrinkToFit="1"/>
    </xf>
    <xf numFmtId="0" fontId="12" fillId="0" borderId="0" xfId="0" applyFont="1" applyFill="1" applyAlignment="1">
      <alignment wrapText="1" shrinkToFit="1"/>
    </xf>
    <xf numFmtId="0" fontId="12" fillId="0" borderId="14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 shrinkToFit="1"/>
    </xf>
    <xf numFmtId="49" fontId="5" fillId="0" borderId="14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0" fontId="38" fillId="0" borderId="0" xfId="0" applyFont="1" applyFill="1" applyAlignment="1">
      <alignment/>
    </xf>
    <xf numFmtId="4" fontId="16" fillId="0" borderId="14" xfId="0" applyNumberFormat="1" applyFont="1" applyFill="1" applyBorder="1" applyAlignment="1">
      <alignment horizontal="right" shrinkToFit="1"/>
    </xf>
    <xf numFmtId="0" fontId="44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 horizontal="left" vertical="center" wrapText="1" shrinkToFit="1"/>
    </xf>
    <xf numFmtId="0" fontId="4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0" fontId="6" fillId="0" borderId="0" xfId="0" applyFont="1" applyFill="1" applyAlignment="1">
      <alignment/>
    </xf>
    <xf numFmtId="49" fontId="12" fillId="0" borderId="14" xfId="285" applyNumberFormat="1" applyFont="1" applyFill="1" applyBorder="1" applyAlignment="1" quotePrefix="1">
      <alignment horizontal="left" vertical="center" wrapText="1" shrinkToFit="1"/>
      <protection/>
    </xf>
    <xf numFmtId="0" fontId="12" fillId="0" borderId="17" xfId="0" applyFont="1" applyFill="1" applyBorder="1" applyAlignment="1">
      <alignment horizontal="left" vertical="center" wrapText="1" shrinkToFi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12" fillId="0" borderId="17" xfId="0" applyNumberFormat="1" applyFont="1" applyFill="1" applyBorder="1" applyAlignment="1">
      <alignment horizontal="left" vertical="center" wrapText="1" shrinkToFit="1"/>
    </xf>
    <xf numFmtId="49" fontId="12" fillId="0" borderId="14" xfId="0" applyNumberFormat="1" applyFont="1" applyFill="1" applyBorder="1" applyAlignment="1">
      <alignment horizontal="left" vertical="center" wrapText="1" shrinkToFit="1"/>
    </xf>
    <xf numFmtId="4" fontId="41" fillId="0" borderId="14" xfId="0" applyNumberFormat="1" applyFont="1" applyFill="1" applyBorder="1" applyAlignment="1">
      <alignment horizontal="right" shrinkToFit="1"/>
    </xf>
    <xf numFmtId="0" fontId="46" fillId="0" borderId="0" xfId="0" applyFont="1" applyFill="1" applyAlignment="1">
      <alignment wrapText="1" shrinkToFit="1"/>
    </xf>
    <xf numFmtId="49" fontId="12" fillId="0" borderId="14" xfId="0" applyNumberFormat="1" applyFont="1" applyFill="1" applyBorder="1" applyAlignment="1" quotePrefix="1">
      <alignment wrapText="1" shrinkToFi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0" borderId="16" xfId="0" applyNumberFormat="1" applyFont="1" applyFill="1" applyBorder="1" applyAlignment="1">
      <alignment horizontal="center" vertical="top" shrinkToFit="1"/>
    </xf>
    <xf numFmtId="0" fontId="16" fillId="0" borderId="14" xfId="0" applyNumberFormat="1" applyFont="1" applyFill="1" applyBorder="1" applyAlignment="1">
      <alignment horizontal="left" vertical="top" wrapText="1" shrinkToFit="1"/>
    </xf>
    <xf numFmtId="49" fontId="12" fillId="0" borderId="14" xfId="0" applyNumberFormat="1" applyFont="1" applyFill="1" applyBorder="1" applyAlignment="1">
      <alignment horizontal="center" vertical="top" shrinkToFit="1"/>
    </xf>
    <xf numFmtId="49" fontId="12" fillId="0" borderId="16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/>
    </xf>
    <xf numFmtId="4" fontId="5" fillId="0" borderId="1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5" fillId="0" borderId="16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49" fontId="12" fillId="0" borderId="16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6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12" fillId="0" borderId="15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right"/>
    </xf>
    <xf numFmtId="3" fontId="11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4" fontId="19" fillId="0" borderId="14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4" fontId="11" fillId="0" borderId="14" xfId="0" applyNumberFormat="1" applyFont="1" applyBorder="1" applyAlignment="1">
      <alignment horizontal="right" wrapText="1"/>
    </xf>
    <xf numFmtId="4" fontId="97" fillId="0" borderId="14" xfId="0" applyNumberFormat="1" applyFont="1" applyBorder="1" applyAlignment="1">
      <alignment/>
    </xf>
    <xf numFmtId="49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right" wrapText="1"/>
    </xf>
    <xf numFmtId="4" fontId="0" fillId="0" borderId="14" xfId="0" applyNumberForma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0" xfId="0" applyFont="1" applyAlignment="1">
      <alignment/>
    </xf>
    <xf numFmtId="0" fontId="19" fillId="0" borderId="14" xfId="0" applyFont="1" applyBorder="1" applyAlignment="1">
      <alignment/>
    </xf>
    <xf numFmtId="4" fontId="98" fillId="0" borderId="14" xfId="0" applyNumberFormat="1" applyFont="1" applyBorder="1" applyAlignment="1">
      <alignment/>
    </xf>
    <xf numFmtId="0" fontId="98" fillId="0" borderId="0" xfId="0" applyFont="1" applyAlignment="1">
      <alignment/>
    </xf>
    <xf numFmtId="3" fontId="97" fillId="0" borderId="0" xfId="0" applyNumberFormat="1" applyFont="1" applyAlignment="1">
      <alignment/>
    </xf>
    <xf numFmtId="4" fontId="11" fillId="0" borderId="14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7" fillId="0" borderId="14" xfId="0" applyNumberFormat="1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wrapText="1"/>
    </xf>
    <xf numFmtId="4" fontId="97" fillId="0" borderId="14" xfId="0" applyNumberFormat="1" applyFont="1" applyFill="1" applyBorder="1" applyAlignment="1">
      <alignment vertical="center" wrapText="1"/>
    </xf>
    <xf numFmtId="3" fontId="8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center" wrapText="1" shrinkToFit="1"/>
    </xf>
    <xf numFmtId="4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 wrapText="1" shrinkToFit="1"/>
    </xf>
    <xf numFmtId="4" fontId="12" fillId="38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38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4" fontId="5" fillId="0" borderId="14" xfId="0" applyNumberFormat="1" applyFont="1" applyFill="1" applyBorder="1" applyAlignment="1">
      <alignment horizontal="right" vertical="center" wrapText="1" shrinkToFit="1"/>
    </xf>
    <xf numFmtId="4" fontId="12" fillId="0" borderId="14" xfId="0" applyNumberFormat="1" applyFont="1" applyFill="1" applyBorder="1" applyAlignment="1">
      <alignment wrapText="1"/>
    </xf>
    <xf numFmtId="4" fontId="39" fillId="8" borderId="14" xfId="0" applyNumberFormat="1" applyFont="1" applyFill="1" applyBorder="1" applyAlignment="1">
      <alignment horizontal="right" vertical="center"/>
    </xf>
    <xf numFmtId="4" fontId="40" fillId="10" borderId="14" xfId="0" applyNumberFormat="1" applyFont="1" applyFill="1" applyBorder="1" applyAlignment="1">
      <alignment horizontal="right" vertical="center"/>
    </xf>
    <xf numFmtId="4" fontId="5" fillId="10" borderId="16" xfId="0" applyNumberFormat="1" applyFont="1" applyFill="1" applyBorder="1" applyAlignment="1">
      <alignment horizontal="right" vertical="center"/>
    </xf>
    <xf numFmtId="4" fontId="5" fillId="10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4" fontId="12" fillId="0" borderId="14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2" fillId="0" borderId="14" xfId="0" applyNumberFormat="1" applyFont="1" applyFill="1" applyBorder="1" applyAlignment="1">
      <alignment horizontal="justify" vertical="center" wrapText="1"/>
    </xf>
    <xf numFmtId="0" fontId="12" fillId="0" borderId="14" xfId="0" applyNumberFormat="1" applyFont="1" applyFill="1" applyBorder="1" applyAlignment="1">
      <alignment horizontal="justify" vertical="top" wrapText="1"/>
    </xf>
    <xf numFmtId="0" fontId="12" fillId="0" borderId="14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49" fontId="5" fillId="0" borderId="14" xfId="165" applyNumberFormat="1" applyFont="1" applyFill="1" applyBorder="1" applyAlignment="1">
      <alignment vertical="top" wrapText="1"/>
      <protection/>
    </xf>
    <xf numFmtId="49" fontId="12" fillId="0" borderId="15" xfId="165" applyNumberFormat="1" applyFont="1" applyFill="1" applyBorder="1" applyAlignment="1">
      <alignment vertical="top" wrapText="1"/>
      <protection/>
    </xf>
    <xf numFmtId="4" fontId="12" fillId="0" borderId="0" xfId="0" applyNumberFormat="1" applyFont="1" applyFill="1" applyAlignment="1">
      <alignment vertical="center"/>
    </xf>
    <xf numFmtId="49" fontId="5" fillId="0" borderId="14" xfId="271" applyNumberFormat="1" applyFont="1" applyFill="1" applyBorder="1" applyAlignment="1">
      <alignment horizontal="center" vertical="center"/>
      <protection/>
    </xf>
    <xf numFmtId="49" fontId="5" fillId="0" borderId="14" xfId="276" applyNumberFormat="1" applyFont="1" applyFill="1" applyBorder="1" applyAlignment="1">
      <alignment horizontal="center" vertical="center" wrapText="1" shrinkToFit="1"/>
      <protection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10" xfId="113" applyNumberFormat="1" applyFont="1" applyFill="1" applyAlignment="1" applyProtection="1">
      <alignment horizontal="center" vertical="center" shrinkToFit="1"/>
      <protection locked="0"/>
    </xf>
    <xf numFmtId="4" fontId="12" fillId="0" borderId="14" xfId="116" applyNumberFormat="1" applyFont="1" applyFill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113" applyNumberFormat="1" applyFont="1" applyFill="1" applyAlignment="1" applyProtection="1">
      <alignment horizontal="center" vertical="center" shrinkToFit="1"/>
      <protection locked="0"/>
    </xf>
    <xf numFmtId="49" fontId="12" fillId="0" borderId="14" xfId="113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113" applyNumberFormat="1" applyFont="1" applyFill="1" applyBorder="1" applyAlignment="1" applyProtection="1">
      <alignment horizontal="center" vertical="center" shrinkToFit="1"/>
      <protection locked="0"/>
    </xf>
    <xf numFmtId="4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9" fontId="5" fillId="0" borderId="14" xfId="271" applyNumberFormat="1" applyFont="1" applyFill="1" applyBorder="1" applyAlignment="1">
      <alignment vertical="center"/>
      <protection/>
    </xf>
    <xf numFmtId="49" fontId="5" fillId="0" borderId="14" xfId="276" applyNumberFormat="1" applyFont="1" applyFill="1" applyBorder="1" applyAlignment="1">
      <alignment vertical="center" wrapText="1" shrinkToFit="1"/>
      <protection/>
    </xf>
    <xf numFmtId="49" fontId="5" fillId="0" borderId="14" xfId="0" applyNumberFormat="1" applyFont="1" applyFill="1" applyBorder="1" applyAlignment="1">
      <alignment vertical="center" wrapText="1" shrinkToFit="1"/>
    </xf>
    <xf numFmtId="49" fontId="12" fillId="0" borderId="14" xfId="0" applyNumberFormat="1" applyFont="1" applyFill="1" applyBorder="1" applyAlignment="1">
      <alignment vertical="center" wrapText="1" shrinkToFit="1"/>
    </xf>
    <xf numFmtId="49" fontId="5" fillId="0" borderId="14" xfId="255" applyNumberFormat="1" applyFont="1" applyFill="1" applyBorder="1" applyAlignment="1">
      <alignment vertical="center"/>
      <protection/>
    </xf>
    <xf numFmtId="0" fontId="12" fillId="0" borderId="0" xfId="0" applyFont="1" applyFill="1" applyAlignment="1" quotePrefix="1">
      <alignment vertical="center" wrapText="1"/>
    </xf>
    <xf numFmtId="4" fontId="12" fillId="0" borderId="14" xfId="165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vertical="center" wrapText="1" shrinkToFit="1"/>
    </xf>
    <xf numFmtId="0" fontId="12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49" fontId="12" fillId="0" borderId="14" xfId="0" applyNumberFormat="1" applyFont="1" applyFill="1" applyBorder="1" applyAlignment="1" quotePrefix="1">
      <alignment vertical="center" wrapText="1" shrinkToFit="1"/>
    </xf>
    <xf numFmtId="49" fontId="5" fillId="0" borderId="14" xfId="247" applyNumberFormat="1" applyFont="1" applyFill="1" applyBorder="1" applyAlignment="1">
      <alignment vertical="center"/>
      <protection/>
    </xf>
    <xf numFmtId="49" fontId="5" fillId="0" borderId="15" xfId="247" applyNumberFormat="1" applyFont="1" applyFill="1" applyBorder="1" applyAlignment="1">
      <alignment vertical="center" wrapText="1" shrinkToFit="1"/>
      <protection/>
    </xf>
    <xf numFmtId="49" fontId="12" fillId="0" borderId="15" xfId="247" applyNumberFormat="1" applyFont="1" applyFill="1" applyBorder="1" applyAlignment="1">
      <alignment vertical="center" wrapText="1" shrinkToFit="1"/>
      <protection/>
    </xf>
    <xf numFmtId="49" fontId="12" fillId="0" borderId="14" xfId="247" applyNumberFormat="1" applyFont="1" applyFill="1" applyBorder="1" applyAlignment="1">
      <alignment vertical="center" wrapText="1" shrinkToFit="1"/>
      <protection/>
    </xf>
    <xf numFmtId="49" fontId="5" fillId="0" borderId="14" xfId="247" applyNumberFormat="1" applyFont="1" applyFill="1" applyBorder="1" applyAlignment="1">
      <alignment vertical="center" wrapText="1" shrinkToFit="1"/>
      <protection/>
    </xf>
    <xf numFmtId="49" fontId="5" fillId="0" borderId="14" xfId="245" applyNumberFormat="1" applyFont="1" applyFill="1" applyBorder="1" applyAlignment="1">
      <alignment vertical="center"/>
      <protection/>
    </xf>
    <xf numFmtId="0" fontId="12" fillId="0" borderId="14" xfId="0" applyNumberFormat="1" applyFont="1" applyFill="1" applyBorder="1" applyAlignment="1" quotePrefix="1">
      <alignment horizontal="left" vertical="center" wrapText="1" shrinkToFit="1"/>
    </xf>
    <xf numFmtId="0" fontId="12" fillId="0" borderId="14" xfId="0" applyFont="1" applyFill="1" applyBorder="1" applyAlignment="1" quotePrefix="1">
      <alignment vertical="center" wrapText="1" shrinkToFit="1"/>
    </xf>
    <xf numFmtId="49" fontId="5" fillId="0" borderId="14" xfId="269" applyNumberFormat="1" applyFont="1" applyFill="1" applyBorder="1" applyAlignment="1">
      <alignment vertical="center"/>
      <protection/>
    </xf>
    <xf numFmtId="49" fontId="5" fillId="0" borderId="14" xfId="284" applyNumberFormat="1" applyFont="1" applyFill="1" applyBorder="1" applyAlignment="1">
      <alignment vertical="center"/>
      <protection/>
    </xf>
    <xf numFmtId="49" fontId="5" fillId="0" borderId="14" xfId="270" applyNumberFormat="1" applyFont="1" applyFill="1" applyBorder="1" applyAlignment="1">
      <alignment vertical="center"/>
      <protection/>
    </xf>
    <xf numFmtId="49" fontId="12" fillId="0" borderId="14" xfId="270" applyNumberFormat="1" applyFont="1" applyFill="1" applyBorder="1" applyAlignment="1" quotePrefix="1">
      <alignment vertical="center" wrapText="1"/>
      <protection/>
    </xf>
    <xf numFmtId="4" fontId="12" fillId="0" borderId="10" xfId="142" applyNumberFormat="1" applyFont="1" applyFill="1" applyAlignment="1" applyProtection="1">
      <alignment horizontal="right" vertical="center" shrinkToFit="1"/>
      <protection/>
    </xf>
    <xf numFmtId="49" fontId="5" fillId="0" borderId="14" xfId="263" applyNumberFormat="1" applyFont="1" applyFill="1" applyBorder="1" applyAlignment="1">
      <alignment vertical="center"/>
      <protection/>
    </xf>
    <xf numFmtId="0" fontId="12" fillId="0" borderId="14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 shrinkToFit="1"/>
    </xf>
    <xf numFmtId="4" fontId="6" fillId="0" borderId="0" xfId="118" applyNumberFormat="1" applyFont="1" applyFill="1" applyBorder="1" applyAlignment="1" applyProtection="1">
      <alignment horizontal="right" shrinkToFit="1"/>
      <protection/>
    </xf>
    <xf numFmtId="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right"/>
    </xf>
    <xf numFmtId="3" fontId="12" fillId="0" borderId="14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49" fontId="12" fillId="0" borderId="10" xfId="91" applyNumberFormat="1" applyFont="1" applyFill="1" applyProtection="1">
      <alignment horizontal="center" vertical="top" shrinkToFit="1"/>
      <protection/>
    </xf>
    <xf numFmtId="4" fontId="4" fillId="0" borderId="0" xfId="0" applyNumberFormat="1" applyFont="1" applyFill="1" applyAlignment="1">
      <alignment wrapText="1"/>
    </xf>
    <xf numFmtId="49" fontId="16" fillId="0" borderId="10" xfId="352" applyNumberFormat="1" applyFont="1" applyFill="1" applyBorder="1" applyAlignment="1">
      <alignment vertical="top" shrinkToFit="1"/>
      <protection/>
    </xf>
    <xf numFmtId="0" fontId="16" fillId="0" borderId="10" xfId="352" applyFont="1" applyFill="1" applyBorder="1" applyAlignment="1">
      <alignment horizontal="left" vertical="top" wrapText="1"/>
      <protection/>
    </xf>
    <xf numFmtId="4" fontId="38" fillId="0" borderId="0" xfId="0" applyNumberFormat="1" applyFont="1" applyFill="1" applyAlignment="1">
      <alignment/>
    </xf>
    <xf numFmtId="0" fontId="12" fillId="0" borderId="10" xfId="352" applyNumberFormat="1" applyFont="1" applyFill="1" applyBorder="1" applyAlignment="1">
      <alignment horizontal="left" vertical="top" wrapText="1"/>
      <protection/>
    </xf>
    <xf numFmtId="4" fontId="12" fillId="0" borderId="14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2" fillId="0" borderId="15" xfId="165" applyFont="1" applyFill="1" applyBorder="1" applyAlignment="1">
      <alignment horizontal="justify" vertical="top" wrapText="1"/>
      <protection/>
    </xf>
    <xf numFmtId="0" fontId="12" fillId="0" borderId="10" xfId="142" applyNumberFormat="1" applyFont="1" applyFill="1" applyAlignment="1" applyProtection="1">
      <alignment vertical="top" wrapText="1"/>
      <protection/>
    </xf>
    <xf numFmtId="49" fontId="12" fillId="0" borderId="10" xfId="99" applyNumberFormat="1" applyFont="1" applyFill="1" applyAlignment="1" applyProtection="1">
      <alignment horizontal="left" vertical="top" shrinkToFit="1"/>
      <protection/>
    </xf>
    <xf numFmtId="0" fontId="12" fillId="0" borderId="10" xfId="129" applyNumberFormat="1" applyFont="1" applyFill="1" applyAlignment="1" applyProtection="1">
      <alignment horizontal="left" vertical="top" wrapText="1"/>
      <protection/>
    </xf>
    <xf numFmtId="0" fontId="37" fillId="0" borderId="0" xfId="0" applyFont="1" applyFill="1" applyBorder="1" applyAlignment="1">
      <alignment/>
    </xf>
    <xf numFmtId="4" fontId="40" fillId="0" borderId="14" xfId="0" applyNumberFormat="1" applyFont="1" applyFill="1" applyBorder="1" applyAlignment="1">
      <alignment horizontal="right" vertical="center"/>
    </xf>
    <xf numFmtId="4" fontId="41" fillId="0" borderId="14" xfId="0" applyNumberFormat="1" applyFont="1" applyFill="1" applyBorder="1" applyAlignment="1">
      <alignment horizontal="right" vertical="center" shrinkToFit="1"/>
    </xf>
    <xf numFmtId="4" fontId="12" fillId="38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4" fontId="5" fillId="39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 shrinkToFit="1"/>
    </xf>
    <xf numFmtId="4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4" xfId="0" applyNumberFormat="1" applyFont="1" applyFill="1" applyBorder="1" applyAlignment="1">
      <alignment horizontal="center" wrapText="1" shrinkToFit="1"/>
    </xf>
    <xf numFmtId="49" fontId="12" fillId="0" borderId="16" xfId="0" applyNumberFormat="1" applyFont="1" applyFill="1" applyBorder="1" applyAlignment="1">
      <alignment horizontal="center" shrinkToFit="1"/>
    </xf>
    <xf numFmtId="4" fontId="12" fillId="0" borderId="14" xfId="0" applyNumberFormat="1" applyFont="1" applyFill="1" applyBorder="1" applyAlignment="1" applyProtection="1">
      <alignment horizontal="right" shrinkToFit="1"/>
      <protection locked="0"/>
    </xf>
    <xf numFmtId="49" fontId="12" fillId="0" borderId="15" xfId="247" applyNumberFormat="1" applyFont="1" applyFill="1" applyBorder="1" applyAlignment="1" quotePrefix="1">
      <alignment vertical="center" wrapText="1" shrinkToFit="1"/>
      <protection/>
    </xf>
    <xf numFmtId="49" fontId="12" fillId="0" borderId="14" xfId="255" applyNumberFormat="1" applyFont="1" applyFill="1" applyBorder="1" applyAlignment="1">
      <alignment vertical="center"/>
      <protection/>
    </xf>
    <xf numFmtId="49" fontId="5" fillId="0" borderId="14" xfId="255" applyNumberFormat="1" applyFont="1" applyFill="1" applyBorder="1" applyAlignment="1">
      <alignment vertical="center" wrapText="1"/>
      <protection/>
    </xf>
    <xf numFmtId="49" fontId="12" fillId="0" borderId="14" xfId="255" applyNumberFormat="1" applyFont="1" applyFill="1" applyBorder="1" applyAlignment="1">
      <alignment vertical="center" wrapText="1"/>
      <protection/>
    </xf>
    <xf numFmtId="4" fontId="12" fillId="0" borderId="14" xfId="0" applyNumberFormat="1" applyFont="1" applyFill="1" applyBorder="1" applyAlignment="1">
      <alignment/>
    </xf>
    <xf numFmtId="164" fontId="12" fillId="0" borderId="14" xfId="62" applyFont="1" applyFill="1" applyBorder="1" applyAlignment="1" applyProtection="1">
      <alignment horizontal="right" vertical="center"/>
      <protection locked="0"/>
    </xf>
    <xf numFmtId="4" fontId="12" fillId="0" borderId="10" xfId="145" applyFont="1" applyFill="1" applyProtection="1">
      <alignment horizontal="right" vertical="top" shrinkToFit="1"/>
      <protection/>
    </xf>
    <xf numFmtId="4" fontId="12" fillId="0" borderId="14" xfId="165" applyNumberFormat="1" applyFont="1" applyFill="1" applyBorder="1" applyAlignment="1" applyProtection="1">
      <alignment vertical="top" shrinkToFit="1"/>
      <protection locked="0"/>
    </xf>
    <xf numFmtId="4" fontId="12" fillId="0" borderId="15" xfId="165" applyNumberFormat="1" applyFont="1" applyFill="1" applyBorder="1" applyAlignment="1" applyProtection="1">
      <alignment vertical="top" shrinkToFit="1"/>
      <protection locked="0"/>
    </xf>
    <xf numFmtId="4" fontId="12" fillId="0" borderId="10" xfId="352" applyNumberFormat="1" applyFont="1" applyFill="1" applyBorder="1" applyAlignment="1">
      <alignment horizontal="right" vertical="top" shrinkToFit="1"/>
      <protection/>
    </xf>
    <xf numFmtId="4" fontId="12" fillId="0" borderId="14" xfId="62" applyNumberFormat="1" applyFont="1" applyFill="1" applyBorder="1" applyAlignment="1" applyProtection="1">
      <alignment horizontal="right" vertical="center"/>
      <protection locked="0"/>
    </xf>
    <xf numFmtId="4" fontId="18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98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99" fillId="0" borderId="0" xfId="0" applyNumberFormat="1" applyFont="1" applyAlignment="1">
      <alignment/>
    </xf>
    <xf numFmtId="3" fontId="1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 shrinkToFit="1"/>
    </xf>
    <xf numFmtId="0" fontId="19" fillId="0" borderId="0" xfId="0" applyFont="1" applyAlignment="1">
      <alignment horizontal="center" wrapText="1" shrinkToFit="1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3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 2" xfId="21"/>
    <cellStyle name="20% — акцент2 2" xfId="22"/>
    <cellStyle name="20% — акцент3 2" xfId="23"/>
    <cellStyle name="20% — акцент4 2" xfId="24"/>
    <cellStyle name="20% — акцент5 2" xfId="25"/>
    <cellStyle name="20% —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 2" xfId="33"/>
    <cellStyle name="40% — акцент2 2" xfId="34"/>
    <cellStyle name="40% — акцент3 2" xfId="35"/>
    <cellStyle name="40% — акцент4 2" xfId="36"/>
    <cellStyle name="40% — акцент5 2" xfId="37"/>
    <cellStyle name="40% —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 2" xfId="45"/>
    <cellStyle name="60% — акцент2 2" xfId="46"/>
    <cellStyle name="60% — акцент3 2" xfId="47"/>
    <cellStyle name="60% — акцент4 2" xfId="48"/>
    <cellStyle name="60% — акцент5 2" xfId="49"/>
    <cellStyle name="60% —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style0" xfId="78"/>
    <cellStyle name="style0 2" xfId="79"/>
    <cellStyle name="td" xfId="80"/>
    <cellStyle name="td 2" xfId="81"/>
    <cellStyle name="Title" xfId="82"/>
    <cellStyle name="Total" xfId="83"/>
    <cellStyle name="tr" xfId="84"/>
    <cellStyle name="Warning Text" xfId="85"/>
    <cellStyle name="xl21" xfId="86"/>
    <cellStyle name="xl21 2" xfId="87"/>
    <cellStyle name="xl22" xfId="88"/>
    <cellStyle name="xl22 2" xfId="89"/>
    <cellStyle name="xl23" xfId="90"/>
    <cellStyle name="xl23 2" xfId="91"/>
    <cellStyle name="xl24" xfId="92"/>
    <cellStyle name="xl25" xfId="93"/>
    <cellStyle name="xl26" xfId="94"/>
    <cellStyle name="xl26 2" xfId="95"/>
    <cellStyle name="xl27" xfId="96"/>
    <cellStyle name="xl28" xfId="97"/>
    <cellStyle name="xl28 2" xfId="98"/>
    <cellStyle name="xl29" xfId="99"/>
    <cellStyle name="xl29 2" xfId="100"/>
    <cellStyle name="xl30" xfId="101"/>
    <cellStyle name="xl30 2" xfId="102"/>
    <cellStyle name="xl30 3" xfId="103"/>
    <cellStyle name="xl31" xfId="104"/>
    <cellStyle name="xl31 2" xfId="105"/>
    <cellStyle name="xl31 3" xfId="106"/>
    <cellStyle name="xl32" xfId="107"/>
    <cellStyle name="xl32 2" xfId="108"/>
    <cellStyle name="xl33" xfId="109"/>
    <cellStyle name="xl33 2" xfId="110"/>
    <cellStyle name="xl33 3" xfId="111"/>
    <cellStyle name="xl34" xfId="112"/>
    <cellStyle name="xl34 2" xfId="113"/>
    <cellStyle name="xl34 3" xfId="114"/>
    <cellStyle name="xl35" xfId="115"/>
    <cellStyle name="xl35 2" xfId="116"/>
    <cellStyle name="xl35 3" xfId="117"/>
    <cellStyle name="xl36" xfId="118"/>
    <cellStyle name="xl36 2" xfId="119"/>
    <cellStyle name="xl36 3" xfId="120"/>
    <cellStyle name="xl37" xfId="121"/>
    <cellStyle name="xl37 2" xfId="122"/>
    <cellStyle name="xl37 3" xfId="123"/>
    <cellStyle name="xl38" xfId="124"/>
    <cellStyle name="xl38 2" xfId="125"/>
    <cellStyle name="xl38 3" xfId="126"/>
    <cellStyle name="xl39" xfId="127"/>
    <cellStyle name="xl39 2" xfId="128"/>
    <cellStyle name="xl39 3" xfId="129"/>
    <cellStyle name="xl40" xfId="130"/>
    <cellStyle name="xl40 2" xfId="131"/>
    <cellStyle name="xl40 3" xfId="132"/>
    <cellStyle name="xl41" xfId="133"/>
    <cellStyle name="xl41 2" xfId="134"/>
    <cellStyle name="xl41 3" xfId="135"/>
    <cellStyle name="xl42" xfId="136"/>
    <cellStyle name="xl42 2" xfId="137"/>
    <cellStyle name="xl42 3" xfId="138"/>
    <cellStyle name="xl43" xfId="139"/>
    <cellStyle name="xl43 2" xfId="140"/>
    <cellStyle name="xl43 3" xfId="141"/>
    <cellStyle name="xl44" xfId="142"/>
    <cellStyle name="xl44 2" xfId="143"/>
    <cellStyle name="xl44 3" xfId="144"/>
    <cellStyle name="xl45" xfId="145"/>
    <cellStyle name="xl45 2" xfId="146"/>
    <cellStyle name="xl46" xfId="147"/>
    <cellStyle name="Акцент1 2" xfId="148"/>
    <cellStyle name="Акцент2 2" xfId="149"/>
    <cellStyle name="Акцент3 2" xfId="150"/>
    <cellStyle name="Акцент4 2" xfId="151"/>
    <cellStyle name="Акцент5 2" xfId="152"/>
    <cellStyle name="Акцент6 2" xfId="153"/>
    <cellStyle name="Ввод  2" xfId="154"/>
    <cellStyle name="Вывод 2" xfId="155"/>
    <cellStyle name="Вычисление 2" xfId="156"/>
    <cellStyle name="Заголовок 1 2" xfId="157"/>
    <cellStyle name="Заголовок 2 2" xfId="158"/>
    <cellStyle name="Заголовок 3 2" xfId="159"/>
    <cellStyle name="Заголовок 4 2" xfId="160"/>
    <cellStyle name="Итог 2" xfId="161"/>
    <cellStyle name="Контрольная ячейка 2" xfId="162"/>
    <cellStyle name="Название 2" xfId="163"/>
    <cellStyle name="Нейтральный 2" xfId="164"/>
    <cellStyle name="Обычный 10" xfId="165"/>
    <cellStyle name="Обычный 100" xfId="166"/>
    <cellStyle name="Обычный 101" xfId="167"/>
    <cellStyle name="Обычный 102" xfId="168"/>
    <cellStyle name="Обычный 103" xfId="169"/>
    <cellStyle name="Обычный 104" xfId="170"/>
    <cellStyle name="Обычный 105" xfId="171"/>
    <cellStyle name="Обычный 106" xfId="172"/>
    <cellStyle name="Обычный 107" xfId="173"/>
    <cellStyle name="Обычный 108" xfId="174"/>
    <cellStyle name="Обычный 109" xfId="175"/>
    <cellStyle name="Обычный 11" xfId="176"/>
    <cellStyle name="Обычный 110" xfId="177"/>
    <cellStyle name="Обычный 111" xfId="178"/>
    <cellStyle name="Обычный 112" xfId="179"/>
    <cellStyle name="Обычный 113" xfId="180"/>
    <cellStyle name="Обычный 114" xfId="181"/>
    <cellStyle name="Обычный 115" xfId="182"/>
    <cellStyle name="Обычный 116" xfId="183"/>
    <cellStyle name="Обычный 117" xfId="184"/>
    <cellStyle name="Обычный 118" xfId="185"/>
    <cellStyle name="Обычный 119" xfId="186"/>
    <cellStyle name="Обычный 12" xfId="187"/>
    <cellStyle name="Обычный 120" xfId="188"/>
    <cellStyle name="Обычный 121" xfId="189"/>
    <cellStyle name="Обычный 122" xfId="190"/>
    <cellStyle name="Обычный 123" xfId="191"/>
    <cellStyle name="Обычный 124" xfId="192"/>
    <cellStyle name="Обычный 125" xfId="193"/>
    <cellStyle name="Обычный 126" xfId="194"/>
    <cellStyle name="Обычный 127" xfId="195"/>
    <cellStyle name="Обычный 128" xfId="196"/>
    <cellStyle name="Обычный 129" xfId="197"/>
    <cellStyle name="Обычный 13" xfId="198"/>
    <cellStyle name="Обычный 130" xfId="199"/>
    <cellStyle name="Обычный 131" xfId="200"/>
    <cellStyle name="Обычный 132" xfId="201"/>
    <cellStyle name="Обычный 133" xfId="202"/>
    <cellStyle name="Обычный 134" xfId="203"/>
    <cellStyle name="Обычный 135" xfId="204"/>
    <cellStyle name="Обычный 136" xfId="205"/>
    <cellStyle name="Обычный 137" xfId="206"/>
    <cellStyle name="Обычный 138" xfId="207"/>
    <cellStyle name="Обычный 139" xfId="208"/>
    <cellStyle name="Обычный 14" xfId="209"/>
    <cellStyle name="Обычный 140" xfId="210"/>
    <cellStyle name="Обычный 141" xfId="211"/>
    <cellStyle name="Обычный 142" xfId="212"/>
    <cellStyle name="Обычный 143" xfId="213"/>
    <cellStyle name="Обычный 144" xfId="214"/>
    <cellStyle name="Обычный 145" xfId="215"/>
    <cellStyle name="Обычный 146" xfId="216"/>
    <cellStyle name="Обычный 147" xfId="217"/>
    <cellStyle name="Обычный 148" xfId="218"/>
    <cellStyle name="Обычный 149" xfId="219"/>
    <cellStyle name="Обычный 15" xfId="220"/>
    <cellStyle name="Обычный 150" xfId="221"/>
    <cellStyle name="Обычный 151" xfId="222"/>
    <cellStyle name="Обычный 152" xfId="223"/>
    <cellStyle name="Обычный 153" xfId="224"/>
    <cellStyle name="Обычный 154" xfId="225"/>
    <cellStyle name="Обычный 155" xfId="226"/>
    <cellStyle name="Обычный 156" xfId="227"/>
    <cellStyle name="Обычный 157" xfId="228"/>
    <cellStyle name="Обычный 158" xfId="229"/>
    <cellStyle name="Обычный 159" xfId="230"/>
    <cellStyle name="Обычный 16" xfId="231"/>
    <cellStyle name="Обычный 160" xfId="232"/>
    <cellStyle name="Обычный 161" xfId="233"/>
    <cellStyle name="Обычный 162" xfId="234"/>
    <cellStyle name="Обычный 163" xfId="235"/>
    <cellStyle name="Обычный 164" xfId="236"/>
    <cellStyle name="Обычный 165" xfId="237"/>
    <cellStyle name="Обычный 166" xfId="238"/>
    <cellStyle name="Обычный 167" xfId="239"/>
    <cellStyle name="Обычный 168" xfId="240"/>
    <cellStyle name="Обычный 169" xfId="241"/>
    <cellStyle name="Обычный 17" xfId="242"/>
    <cellStyle name="Обычный 170" xfId="243"/>
    <cellStyle name="Обычный 171" xfId="244"/>
    <cellStyle name="Обычный 172" xfId="245"/>
    <cellStyle name="Обычный 173" xfId="246"/>
    <cellStyle name="Обычный 174" xfId="247"/>
    <cellStyle name="Обычный 175" xfId="248"/>
    <cellStyle name="Обычный 176" xfId="249"/>
    <cellStyle name="Обычный 177" xfId="250"/>
    <cellStyle name="Обычный 178" xfId="251"/>
    <cellStyle name="Обычный 179" xfId="252"/>
    <cellStyle name="Обычный 18" xfId="253"/>
    <cellStyle name="Обычный 180" xfId="254"/>
    <cellStyle name="Обычный 181" xfId="255"/>
    <cellStyle name="Обычный 182" xfId="256"/>
    <cellStyle name="Обычный 183" xfId="257"/>
    <cellStyle name="Обычный 184" xfId="258"/>
    <cellStyle name="Обычный 185" xfId="259"/>
    <cellStyle name="Обычный 186" xfId="260"/>
    <cellStyle name="Обычный 187" xfId="261"/>
    <cellStyle name="Обычный 188" xfId="262"/>
    <cellStyle name="Обычный 189" xfId="263"/>
    <cellStyle name="Обычный 19" xfId="264"/>
    <cellStyle name="Обычный 190" xfId="265"/>
    <cellStyle name="Обычный 191" xfId="266"/>
    <cellStyle name="Обычный 192" xfId="267"/>
    <cellStyle name="Обычный 193" xfId="268"/>
    <cellStyle name="Обычный 194" xfId="269"/>
    <cellStyle name="Обычный 195" xfId="270"/>
    <cellStyle name="Обычный 196" xfId="271"/>
    <cellStyle name="Обычный 197" xfId="272"/>
    <cellStyle name="Обычный 198" xfId="273"/>
    <cellStyle name="Обычный 2" xfId="274"/>
    <cellStyle name="Обычный 20" xfId="275"/>
    <cellStyle name="Обычный 21" xfId="276"/>
    <cellStyle name="Обычный 22" xfId="277"/>
    <cellStyle name="Обычный 23" xfId="278"/>
    <cellStyle name="Обычный 24" xfId="279"/>
    <cellStyle name="Обычный 25" xfId="280"/>
    <cellStyle name="Обычный 26" xfId="281"/>
    <cellStyle name="Обычный 27" xfId="282"/>
    <cellStyle name="Обычный 28" xfId="283"/>
    <cellStyle name="Обычный 29" xfId="284"/>
    <cellStyle name="Обычный 3" xfId="285"/>
    <cellStyle name="Обычный 30" xfId="286"/>
    <cellStyle name="Обычный 31" xfId="287"/>
    <cellStyle name="Обычный 32" xfId="288"/>
    <cellStyle name="Обычный 33" xfId="289"/>
    <cellStyle name="Обычный 34" xfId="290"/>
    <cellStyle name="Обычный 35" xfId="291"/>
    <cellStyle name="Обычный 36" xfId="292"/>
    <cellStyle name="Обычный 37" xfId="293"/>
    <cellStyle name="Обычный 38" xfId="294"/>
    <cellStyle name="Обычный 39" xfId="295"/>
    <cellStyle name="Обычный 4" xfId="296"/>
    <cellStyle name="Обычный 40" xfId="297"/>
    <cellStyle name="Обычный 41" xfId="298"/>
    <cellStyle name="Обычный 42" xfId="299"/>
    <cellStyle name="Обычный 43" xfId="300"/>
    <cellStyle name="Обычный 44" xfId="301"/>
    <cellStyle name="Обычный 45" xfId="302"/>
    <cellStyle name="Обычный 46" xfId="303"/>
    <cellStyle name="Обычный 47" xfId="304"/>
    <cellStyle name="Обычный 48" xfId="305"/>
    <cellStyle name="Обычный 49" xfId="306"/>
    <cellStyle name="Обычный 5" xfId="307"/>
    <cellStyle name="Обычный 50" xfId="308"/>
    <cellStyle name="Обычный 51" xfId="309"/>
    <cellStyle name="Обычный 52" xfId="310"/>
    <cellStyle name="Обычный 53" xfId="311"/>
    <cellStyle name="Обычный 54" xfId="312"/>
    <cellStyle name="Обычный 55" xfId="313"/>
    <cellStyle name="Обычный 56" xfId="314"/>
    <cellStyle name="Обычный 57" xfId="315"/>
    <cellStyle name="Обычный 58" xfId="316"/>
    <cellStyle name="Обычный 59" xfId="317"/>
    <cellStyle name="Обычный 6" xfId="318"/>
    <cellStyle name="Обычный 60" xfId="319"/>
    <cellStyle name="Обычный 61" xfId="320"/>
    <cellStyle name="Обычный 62" xfId="321"/>
    <cellStyle name="Обычный 63" xfId="322"/>
    <cellStyle name="Обычный 64" xfId="323"/>
    <cellStyle name="Обычный 65" xfId="324"/>
    <cellStyle name="Обычный 66" xfId="325"/>
    <cellStyle name="Обычный 67" xfId="326"/>
    <cellStyle name="Обычный 68" xfId="327"/>
    <cellStyle name="Обычный 69" xfId="328"/>
    <cellStyle name="Обычный 7" xfId="329"/>
    <cellStyle name="Обычный 70" xfId="330"/>
    <cellStyle name="Обычный 71" xfId="331"/>
    <cellStyle name="Обычный 72" xfId="332"/>
    <cellStyle name="Обычный 73" xfId="333"/>
    <cellStyle name="Обычный 74" xfId="334"/>
    <cellStyle name="Обычный 75" xfId="335"/>
    <cellStyle name="Обычный 76" xfId="336"/>
    <cellStyle name="Обычный 77" xfId="337"/>
    <cellStyle name="Обычный 78" xfId="338"/>
    <cellStyle name="Обычный 79" xfId="339"/>
    <cellStyle name="Обычный 8" xfId="340"/>
    <cellStyle name="Обычный 80" xfId="341"/>
    <cellStyle name="Обычный 81" xfId="342"/>
    <cellStyle name="Обычный 82" xfId="343"/>
    <cellStyle name="Обычный 83" xfId="344"/>
    <cellStyle name="Обычный 84" xfId="345"/>
    <cellStyle name="Обычный 85" xfId="346"/>
    <cellStyle name="Обычный 86" xfId="347"/>
    <cellStyle name="Обычный 87" xfId="348"/>
    <cellStyle name="Обычный 88" xfId="349"/>
    <cellStyle name="Обычный 89" xfId="350"/>
    <cellStyle name="Обычный 9" xfId="351"/>
    <cellStyle name="Обычный 90" xfId="352"/>
    <cellStyle name="Обычный 91" xfId="353"/>
    <cellStyle name="Обычный 92" xfId="354"/>
    <cellStyle name="Обычный 93" xfId="355"/>
    <cellStyle name="Обычный 94" xfId="356"/>
    <cellStyle name="Обычный 95" xfId="357"/>
    <cellStyle name="Обычный 96" xfId="358"/>
    <cellStyle name="Обычный 97" xfId="359"/>
    <cellStyle name="Обычный 98" xfId="360"/>
    <cellStyle name="Обычный 99" xfId="361"/>
    <cellStyle name="Плохой 2" xfId="362"/>
    <cellStyle name="Пояснение 2" xfId="363"/>
    <cellStyle name="Примечание 2" xfId="364"/>
    <cellStyle name="Примечание 3" xfId="365"/>
    <cellStyle name="Процентный 2" xfId="366"/>
    <cellStyle name="Связанная ячейка 2" xfId="367"/>
    <cellStyle name="Текст предупреждения 2" xfId="368"/>
    <cellStyle name="Хороший 2" xfId="3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Users\User\Desktop\&#1056;&#1077;&#1096;&#1077;&#1085;&#1080;&#1103;%20&#1073;&#1102;&#1076;&#1078;&#1077;&#1090;%202021-2023\4-&#1077;%20&#1091;&#1090;&#1086;&#1095;&#1085;&#1077;&#1085;&#1080;&#1077;\&#1055;&#1088;&#1080;&#1083;&#1086;&#1078;&#1077;&#1085;&#1080;&#1077;%20&#1082;%20%20&#1073;&#1102;&#1076;&#1078;&#1077;&#1090;&#1091;%202021-2023%204%20&#1077;%20&#1091;&#1090;&#1086;&#1095;&#1085;&#1077;&#1085;&#1080;&#1077;%20&#1087;&#1086;&#1089;&#1083;&#1077;%20&#1088;&#1077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Users\User\Desktop\&#1055;&#1088;&#1086;&#1077;&#1082;&#1090;%20&#1073;&#1102;&#1076;&#1078;&#1077;&#1090;&#1072;%202022-2024\&#1055;&#1088;&#1086;&#1077;&#1082;&#1090;%20&#1088;&#1077;&#1096;&#1077;&#1085;&#1080;&#1103;%20&#1074;%20&#1056;&#1072;&#1081;%20&#1089;&#1086;&#1074;&#1077;&#1090;%20&#1074;&#1086;&#1089;&#1083;&#1077;%20&#1088;&#1077;&#1076;.%20&#1082;&#1086;&#1084;&#1080;&#1089;&#1089;&#1080;&#1080;\&#1055;&#1088;&#1080;&#1083;&#1086;&#1078;&#1077;&#1085;&#1080;&#1103;%20&#1082;%20&#1087;&#1088;&#1086;&#1077;&#1082;&#1090;&#1091;%20&#1073;&#1102;&#1076;&#1078;&#1077;&#1090;&#1072;%202022-2024%20&#1087;&#1086;&#1089;&#1083;&#1077;%20&#1088;&#1077;&#1076;&#1072;&#1082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4"/>
      <sheetName val="приложение 5"/>
      <sheetName val="приложение6"/>
      <sheetName val="приложение 7"/>
      <sheetName val="приложение 8"/>
      <sheetName val="приложение 9"/>
    </sheetNames>
    <sheetDataSet>
      <sheetData sheetId="1">
        <row r="106">
          <cell r="D106">
            <v>0</v>
          </cell>
          <cell r="E106">
            <v>0</v>
          </cell>
          <cell r="F106">
            <v>0</v>
          </cell>
        </row>
      </sheetData>
      <sheetData sheetId="2">
        <row r="127">
          <cell r="F127">
            <v>0</v>
          </cell>
          <cell r="G127">
            <v>0</v>
          </cell>
          <cell r="H1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_1 "/>
      <sheetName val="Приложение_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</sheetNames>
    <sheetDataSet>
      <sheetData sheetId="3">
        <row r="213">
          <cell r="G213">
            <v>0</v>
          </cell>
          <cell r="H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49"/>
  <sheetViews>
    <sheetView tabSelected="1" zoomScale="90" zoomScaleNormal="90" zoomScalePageLayoutView="0" workbookViewId="0" topLeftCell="A1">
      <selection activeCell="D2" sqref="D2:E8"/>
    </sheetView>
  </sheetViews>
  <sheetFormatPr defaultColWidth="9.140625" defaultRowHeight="15"/>
  <cols>
    <col min="1" max="1" width="31.140625" style="126" bestFit="1" customWidth="1"/>
    <col min="2" max="2" width="60.00390625" style="2" customWidth="1"/>
    <col min="3" max="4" width="21.7109375" style="307" customWidth="1"/>
    <col min="5" max="5" width="22.421875" style="307" customWidth="1"/>
    <col min="6" max="6" width="9.140625" style="1" customWidth="1"/>
    <col min="7" max="7" width="16.00390625" style="308" customWidth="1"/>
    <col min="8" max="8" width="14.421875" style="1" customWidth="1"/>
    <col min="9" max="9" width="19.00390625" style="27" customWidth="1"/>
    <col min="10" max="10" width="13.140625" style="1" customWidth="1"/>
    <col min="11" max="16" width="9.140625" style="1" customWidth="1"/>
    <col min="17" max="17" width="14.8515625" style="1" customWidth="1"/>
    <col min="18" max="16384" width="9.140625" style="1" customWidth="1"/>
  </cols>
  <sheetData>
    <row r="2" spans="3:5" ht="18">
      <c r="C2" s="367"/>
      <c r="D2" s="377" t="s">
        <v>641</v>
      </c>
      <c r="E2" s="377"/>
    </row>
    <row r="3" spans="3:5" ht="18">
      <c r="C3" s="367"/>
      <c r="D3" s="377" t="s">
        <v>772</v>
      </c>
      <c r="E3" s="377"/>
    </row>
    <row r="4" spans="3:5" ht="18">
      <c r="C4" s="367"/>
      <c r="D4" s="377" t="s">
        <v>17</v>
      </c>
      <c r="E4" s="377"/>
    </row>
    <row r="5" spans="3:5" ht="18">
      <c r="C5" s="367"/>
      <c r="D5" s="377" t="s">
        <v>18</v>
      </c>
      <c r="E5" s="377"/>
    </row>
    <row r="6" spans="3:5" ht="18">
      <c r="C6" s="367"/>
      <c r="D6" s="371" t="s">
        <v>773</v>
      </c>
      <c r="E6" s="371"/>
    </row>
    <row r="7" spans="3:5" ht="18">
      <c r="C7" s="367"/>
      <c r="D7" s="377" t="s">
        <v>774</v>
      </c>
      <c r="E7" s="377"/>
    </row>
    <row r="8" spans="3:5" ht="18">
      <c r="C8" s="367"/>
      <c r="D8" s="372"/>
      <c r="E8" s="372"/>
    </row>
    <row r="9" spans="3:5" ht="18">
      <c r="C9" s="367"/>
      <c r="D9" s="367"/>
      <c r="E9" s="367"/>
    </row>
    <row r="11" spans="1:5" ht="36" customHeight="1">
      <c r="A11" s="378" t="s">
        <v>165</v>
      </c>
      <c r="B11" s="378"/>
      <c r="C11" s="378"/>
      <c r="D11" s="378"/>
      <c r="E11" s="378"/>
    </row>
    <row r="13" ht="15.75">
      <c r="E13" s="309"/>
    </row>
    <row r="14" spans="1:9" s="85" customFormat="1" ht="27" customHeight="1">
      <c r="A14" s="132" t="s">
        <v>19</v>
      </c>
      <c r="B14" s="31" t="s">
        <v>20</v>
      </c>
      <c r="C14" s="310" t="s">
        <v>21</v>
      </c>
      <c r="D14" s="310" t="s">
        <v>22</v>
      </c>
      <c r="E14" s="310" t="s">
        <v>166</v>
      </c>
      <c r="G14" s="308"/>
      <c r="I14" s="86"/>
    </row>
    <row r="15" spans="1:5" ht="16.5">
      <c r="A15" s="12" t="s">
        <v>23</v>
      </c>
      <c r="B15" s="3" t="s">
        <v>24</v>
      </c>
      <c r="C15" s="19">
        <f>SUM(C16:C20)</f>
        <v>1497500126.14</v>
      </c>
      <c r="D15" s="19">
        <f>SUM(D16:D20)</f>
        <v>1512280000</v>
      </c>
      <c r="E15" s="19">
        <f>SUM(E16:E20)</f>
        <v>1616310000</v>
      </c>
    </row>
    <row r="16" spans="1:5" ht="96" customHeight="1">
      <c r="A16" s="6" t="s">
        <v>25</v>
      </c>
      <c r="B16" s="4" t="s">
        <v>26</v>
      </c>
      <c r="C16" s="8">
        <f>1429527000+47838400+2124000</f>
        <v>1479489400</v>
      </c>
      <c r="D16" s="8">
        <v>1496075000</v>
      </c>
      <c r="E16" s="8">
        <v>1600070000</v>
      </c>
    </row>
    <row r="17" spans="1:5" ht="153">
      <c r="A17" s="6" t="s">
        <v>27</v>
      </c>
      <c r="B17" s="4" t="s">
        <v>28</v>
      </c>
      <c r="C17" s="8">
        <v>4200000</v>
      </c>
      <c r="D17" s="8">
        <v>4200000</v>
      </c>
      <c r="E17" s="8">
        <v>4200000</v>
      </c>
    </row>
    <row r="18" spans="1:5" ht="67.5">
      <c r="A18" s="6" t="s">
        <v>29</v>
      </c>
      <c r="B18" s="4" t="s">
        <v>30</v>
      </c>
      <c r="C18" s="8">
        <v>1470000</v>
      </c>
      <c r="D18" s="8">
        <v>1505000</v>
      </c>
      <c r="E18" s="8">
        <v>1540000</v>
      </c>
    </row>
    <row r="19" spans="1:8" ht="135.75">
      <c r="A19" s="6" t="s">
        <v>31</v>
      </c>
      <c r="B19" s="4" t="s">
        <v>32</v>
      </c>
      <c r="C19" s="8">
        <v>10000000</v>
      </c>
      <c r="D19" s="8">
        <v>10000000</v>
      </c>
      <c r="E19" s="8">
        <v>10000000</v>
      </c>
      <c r="H19" s="311"/>
    </row>
    <row r="20" spans="1:8" ht="118.5">
      <c r="A20" s="6" t="s">
        <v>169</v>
      </c>
      <c r="B20" s="4" t="s">
        <v>168</v>
      </c>
      <c r="C20" s="8">
        <f>500000+1840726.14</f>
        <v>2340726.1399999997</v>
      </c>
      <c r="D20" s="8">
        <v>500000</v>
      </c>
      <c r="E20" s="8">
        <v>500000</v>
      </c>
      <c r="H20" s="311"/>
    </row>
    <row r="21" spans="1:9" s="37" customFormat="1" ht="51">
      <c r="A21" s="244" t="s">
        <v>33</v>
      </c>
      <c r="B21" s="5" t="s">
        <v>34</v>
      </c>
      <c r="C21" s="19">
        <f>SUM(C22:C25)</f>
        <v>11399310</v>
      </c>
      <c r="D21" s="19">
        <f>SUM(D22:D25)</f>
        <v>12124770</v>
      </c>
      <c r="E21" s="19">
        <f>SUM(E22:E25)</f>
        <v>12530050</v>
      </c>
      <c r="G21" s="312"/>
      <c r="H21" s="38"/>
      <c r="I21" s="38"/>
    </row>
    <row r="22" spans="1:17" ht="45" customHeight="1">
      <c r="A22" s="6" t="s">
        <v>35</v>
      </c>
      <c r="B22" s="4" t="s">
        <v>36</v>
      </c>
      <c r="C22" s="350">
        <f>4781490+372490</f>
        <v>5153980</v>
      </c>
      <c r="D22" s="350">
        <f>4781490+643100</f>
        <v>5424590</v>
      </c>
      <c r="E22" s="350">
        <f>4781490+735330</f>
        <v>5516820</v>
      </c>
      <c r="H22" s="311"/>
      <c r="Q22" s="313"/>
    </row>
    <row r="23" spans="1:17" ht="84.75">
      <c r="A23" s="6" t="s">
        <v>37</v>
      </c>
      <c r="B23" s="4" t="s">
        <v>38</v>
      </c>
      <c r="C23" s="350">
        <f>27250+1280</f>
        <v>28530</v>
      </c>
      <c r="D23" s="350">
        <f>27250+3140</f>
        <v>30390</v>
      </c>
      <c r="E23" s="350">
        <f>27250+4630</f>
        <v>31880</v>
      </c>
      <c r="H23" s="311"/>
      <c r="Q23" s="313"/>
    </row>
    <row r="24" spans="1:17" ht="84.75">
      <c r="A24" s="6" t="s">
        <v>39</v>
      </c>
      <c r="B24" s="4" t="s">
        <v>40</v>
      </c>
      <c r="C24" s="350">
        <f>6289770+573310</f>
        <v>6863080</v>
      </c>
      <c r="D24" s="350">
        <f>6289770+1052200</f>
        <v>7341970</v>
      </c>
      <c r="E24" s="350">
        <f>6289770+1399570</f>
        <v>7689340</v>
      </c>
      <c r="H24" s="311"/>
      <c r="Q24" s="313"/>
    </row>
    <row r="25" spans="1:17" ht="84.75">
      <c r="A25" s="6" t="s">
        <v>41</v>
      </c>
      <c r="B25" s="4" t="s">
        <v>42</v>
      </c>
      <c r="C25" s="350">
        <f>-685040+38760</f>
        <v>-646280</v>
      </c>
      <c r="D25" s="350">
        <f>-685040+12860</f>
        <v>-672180</v>
      </c>
      <c r="E25" s="350">
        <f>-685040-22950</f>
        <v>-707990</v>
      </c>
      <c r="H25" s="311"/>
      <c r="Q25" s="313"/>
    </row>
    <row r="26" spans="1:5" ht="16.5">
      <c r="A26" s="12" t="s">
        <v>43</v>
      </c>
      <c r="B26" s="3" t="s">
        <v>44</v>
      </c>
      <c r="C26" s="19">
        <f>C27+C31+C32</f>
        <v>169814500</v>
      </c>
      <c r="D26" s="19">
        <f>D27+D31+D32</f>
        <v>148536390</v>
      </c>
      <c r="E26" s="19">
        <f>E27+E31+E32</f>
        <v>152439980</v>
      </c>
    </row>
    <row r="27" spans="1:5" ht="33.75">
      <c r="A27" s="13" t="s">
        <v>45</v>
      </c>
      <c r="B27" s="7" t="s">
        <v>46</v>
      </c>
      <c r="C27" s="8">
        <f>SUM(C28:C30)</f>
        <v>151925800</v>
      </c>
      <c r="D27" s="8">
        <f>SUM(D28:D30)</f>
        <v>130119690</v>
      </c>
      <c r="E27" s="8">
        <f>SUM(E28:E30)</f>
        <v>134023280</v>
      </c>
    </row>
    <row r="28" spans="1:5" ht="51">
      <c r="A28" s="6" t="s">
        <v>47</v>
      </c>
      <c r="B28" s="4" t="s">
        <v>48</v>
      </c>
      <c r="C28" s="351">
        <f>91897000-2225160</f>
        <v>89671840</v>
      </c>
      <c r="D28" s="351">
        <f>94654000-2292000</f>
        <v>92362000</v>
      </c>
      <c r="E28" s="351">
        <f>97493000-2360150</f>
        <v>95132850</v>
      </c>
    </row>
    <row r="29" spans="1:5" ht="88.5" customHeight="1">
      <c r="A29" s="245" t="s">
        <v>49</v>
      </c>
      <c r="B29" s="9" t="s">
        <v>50</v>
      </c>
      <c r="C29" s="352">
        <f>38380000-1722040+25596000</f>
        <v>62253960</v>
      </c>
      <c r="D29" s="352">
        <f>39500000-1742310</f>
        <v>37757690</v>
      </c>
      <c r="E29" s="352">
        <f>40685000-1794570</f>
        <v>38890430</v>
      </c>
    </row>
    <row r="30" spans="1:5" ht="33.75">
      <c r="A30" s="245" t="s">
        <v>170</v>
      </c>
      <c r="B30" s="328" t="s">
        <v>171</v>
      </c>
      <c r="C30" s="352">
        <f>5000-5000</f>
        <v>0</v>
      </c>
      <c r="D30" s="352">
        <f>5000-5000</f>
        <v>0</v>
      </c>
      <c r="E30" s="352">
        <f>5000-5000</f>
        <v>0</v>
      </c>
    </row>
    <row r="31" spans="1:5" ht="33.75">
      <c r="A31" s="6" t="s">
        <v>51</v>
      </c>
      <c r="B31" s="4" t="s">
        <v>52</v>
      </c>
      <c r="C31" s="8">
        <v>276700</v>
      </c>
      <c r="D31" s="8">
        <v>276700</v>
      </c>
      <c r="E31" s="8">
        <v>276700</v>
      </c>
    </row>
    <row r="32" spans="1:5" ht="84.75">
      <c r="A32" s="6" t="s">
        <v>53</v>
      </c>
      <c r="B32" s="4" t="s">
        <v>54</v>
      </c>
      <c r="C32" s="8">
        <v>17612000</v>
      </c>
      <c r="D32" s="8">
        <v>18140000</v>
      </c>
      <c r="E32" s="8">
        <v>18140000</v>
      </c>
    </row>
    <row r="33" spans="1:5" ht="16.5">
      <c r="A33" s="244" t="s">
        <v>55</v>
      </c>
      <c r="B33" s="5" t="s">
        <v>56</v>
      </c>
      <c r="C33" s="19">
        <f>C34+C35</f>
        <v>178000</v>
      </c>
      <c r="D33" s="19">
        <f>D34+D35</f>
        <v>178000</v>
      </c>
      <c r="E33" s="19">
        <f>E34+E35</f>
        <v>178000</v>
      </c>
    </row>
    <row r="34" spans="1:5" ht="67.5">
      <c r="A34" s="314" t="s">
        <v>764</v>
      </c>
      <c r="B34" s="4" t="s">
        <v>57</v>
      </c>
      <c r="C34" s="8">
        <v>145000</v>
      </c>
      <c r="D34" s="8">
        <v>145000</v>
      </c>
      <c r="E34" s="8">
        <v>145000</v>
      </c>
    </row>
    <row r="35" spans="1:5" ht="67.5">
      <c r="A35" s="314" t="s">
        <v>765</v>
      </c>
      <c r="B35" s="4" t="s">
        <v>58</v>
      </c>
      <c r="C35" s="8">
        <v>33000</v>
      </c>
      <c r="D35" s="8">
        <v>33000</v>
      </c>
      <c r="E35" s="8">
        <v>33000</v>
      </c>
    </row>
    <row r="36" spans="1:5" ht="33.75">
      <c r="A36" s="12" t="s">
        <v>59</v>
      </c>
      <c r="B36" s="3" t="s">
        <v>60</v>
      </c>
      <c r="C36" s="19">
        <f>C37</f>
        <v>34496000</v>
      </c>
      <c r="D36" s="19">
        <f>D37</f>
        <v>37523000</v>
      </c>
      <c r="E36" s="19">
        <f>E37</f>
        <v>38904000</v>
      </c>
    </row>
    <row r="37" spans="1:5" ht="51">
      <c r="A37" s="6" t="s">
        <v>61</v>
      </c>
      <c r="B37" s="4" t="s">
        <v>62</v>
      </c>
      <c r="C37" s="8">
        <v>34496000</v>
      </c>
      <c r="D37" s="8">
        <v>37523000</v>
      </c>
      <c r="E37" s="8">
        <v>38904000</v>
      </c>
    </row>
    <row r="38" spans="1:5" ht="16.5">
      <c r="A38" s="12" t="s">
        <v>63</v>
      </c>
      <c r="B38" s="3" t="s">
        <v>64</v>
      </c>
      <c r="C38" s="19">
        <f>C39+C40</f>
        <v>9250000</v>
      </c>
      <c r="D38" s="19">
        <f>D39+D40</f>
        <v>9450000</v>
      </c>
      <c r="E38" s="19">
        <f>E39+E40</f>
        <v>9650000</v>
      </c>
    </row>
    <row r="39" spans="1:5" ht="84.75">
      <c r="A39" s="6" t="s">
        <v>766</v>
      </c>
      <c r="B39" s="4" t="s">
        <v>65</v>
      </c>
      <c r="C39" s="8">
        <v>9200000</v>
      </c>
      <c r="D39" s="8">
        <v>9400000</v>
      </c>
      <c r="E39" s="8">
        <v>9600000</v>
      </c>
    </row>
    <row r="40" spans="1:5" ht="51">
      <c r="A40" s="6" t="s">
        <v>767</v>
      </c>
      <c r="B40" s="4" t="s">
        <v>1</v>
      </c>
      <c r="C40" s="8">
        <v>50000</v>
      </c>
      <c r="D40" s="8">
        <v>50000</v>
      </c>
      <c r="E40" s="8">
        <v>50000</v>
      </c>
    </row>
    <row r="41" spans="1:6" ht="67.5">
      <c r="A41" s="12" t="s">
        <v>66</v>
      </c>
      <c r="B41" s="3" t="s">
        <v>67</v>
      </c>
      <c r="C41" s="19">
        <f>C42+C43</f>
        <v>399864000</v>
      </c>
      <c r="D41" s="19">
        <f>D42+D43</f>
        <v>399933000</v>
      </c>
      <c r="E41" s="19">
        <f>E42+E43</f>
        <v>399933000</v>
      </c>
      <c r="F41" s="27"/>
    </row>
    <row r="42" spans="1:5" ht="102">
      <c r="A42" s="6" t="s">
        <v>68</v>
      </c>
      <c r="B42" s="4" t="s">
        <v>69</v>
      </c>
      <c r="C42" s="8">
        <v>358600000</v>
      </c>
      <c r="D42" s="8">
        <v>358600000</v>
      </c>
      <c r="E42" s="8">
        <v>358600000</v>
      </c>
    </row>
    <row r="43" spans="1:5" ht="135.75">
      <c r="A43" s="12" t="s">
        <v>70</v>
      </c>
      <c r="B43" s="3" t="s">
        <v>71</v>
      </c>
      <c r="C43" s="19">
        <f>C44+C45+C46+C48+C47</f>
        <v>41264000</v>
      </c>
      <c r="D43" s="19">
        <f>D44+D45+D46+D48+D47</f>
        <v>41333000</v>
      </c>
      <c r="E43" s="19">
        <f>E44+E45+E46+E48+E47</f>
        <v>41333000</v>
      </c>
    </row>
    <row r="44" spans="1:5" ht="116.25" customHeight="1">
      <c r="A44" s="6" t="s">
        <v>72</v>
      </c>
      <c r="B44" s="4" t="s">
        <v>2</v>
      </c>
      <c r="C44" s="8">
        <v>2729000</v>
      </c>
      <c r="D44" s="8">
        <v>2798000</v>
      </c>
      <c r="E44" s="8">
        <v>2798000</v>
      </c>
    </row>
    <row r="45" spans="1:5" ht="135.75">
      <c r="A45" s="6" t="s">
        <v>768</v>
      </c>
      <c r="B45" s="4" t="s">
        <v>73</v>
      </c>
      <c r="C45" s="8">
        <v>34959000</v>
      </c>
      <c r="D45" s="8">
        <v>34959000</v>
      </c>
      <c r="E45" s="8">
        <v>34959000</v>
      </c>
    </row>
    <row r="46" spans="1:5" ht="92.25" customHeight="1">
      <c r="A46" s="6" t="s">
        <v>74</v>
      </c>
      <c r="B46" s="4" t="s">
        <v>75</v>
      </c>
      <c r="C46" s="8">
        <v>506000</v>
      </c>
      <c r="D46" s="8">
        <v>506000</v>
      </c>
      <c r="E46" s="8">
        <v>506000</v>
      </c>
    </row>
    <row r="47" spans="1:5" ht="102">
      <c r="A47" s="6" t="s">
        <v>76</v>
      </c>
      <c r="B47" s="4" t="s">
        <v>77</v>
      </c>
      <c r="C47" s="8">
        <v>70000</v>
      </c>
      <c r="D47" s="8">
        <v>70000</v>
      </c>
      <c r="E47" s="8">
        <v>70000</v>
      </c>
    </row>
    <row r="48" spans="1:5" ht="67.5">
      <c r="A48" s="6" t="s">
        <v>78</v>
      </c>
      <c r="B48" s="4" t="s">
        <v>79</v>
      </c>
      <c r="C48" s="8">
        <v>3000000</v>
      </c>
      <c r="D48" s="8">
        <v>3000000</v>
      </c>
      <c r="E48" s="8">
        <v>3000000</v>
      </c>
    </row>
    <row r="49" spans="1:9" ht="33.75">
      <c r="A49" s="12" t="s">
        <v>80</v>
      </c>
      <c r="B49" s="3" t="s">
        <v>81</v>
      </c>
      <c r="C49" s="19">
        <f>SUM(C50:C54)</f>
        <v>19150700</v>
      </c>
      <c r="D49" s="19">
        <f>SUM(D50:D54)</f>
        <v>16378200</v>
      </c>
      <c r="E49" s="19">
        <f>SUM(E50:E54)</f>
        <v>17030800</v>
      </c>
      <c r="I49" s="315"/>
    </row>
    <row r="50" spans="1:9" ht="51">
      <c r="A50" s="6" t="s">
        <v>172</v>
      </c>
      <c r="B50" s="4" t="s">
        <v>82</v>
      </c>
      <c r="C50" s="8">
        <f>1319200+134400</f>
        <v>1453600</v>
      </c>
      <c r="D50" s="8">
        <f>1319200+192600</f>
        <v>1511800</v>
      </c>
      <c r="E50" s="8">
        <f>1319200+253100</f>
        <v>1572300</v>
      </c>
      <c r="I50" s="315"/>
    </row>
    <row r="51" spans="1:9" ht="33.75">
      <c r="A51" s="6" t="s">
        <v>173</v>
      </c>
      <c r="B51" s="4" t="s">
        <v>83</v>
      </c>
      <c r="C51" s="8">
        <f>29600+11000</f>
        <v>40600</v>
      </c>
      <c r="D51" s="8">
        <f>29600+12600</f>
        <v>42200</v>
      </c>
      <c r="E51" s="8">
        <f>29600+14300</f>
        <v>43900</v>
      </c>
      <c r="I51" s="315"/>
    </row>
    <row r="52" spans="1:9" ht="37.5" customHeight="1">
      <c r="A52" s="6" t="s">
        <v>174</v>
      </c>
      <c r="B52" s="4" t="s">
        <v>84</v>
      </c>
      <c r="C52" s="8">
        <f>5071800+9121200</f>
        <v>14193000</v>
      </c>
      <c r="D52" s="8">
        <f>5071800+9688900</f>
        <v>14760700</v>
      </c>
      <c r="E52" s="8">
        <f>5071800+10279300</f>
        <v>15351100</v>
      </c>
      <c r="I52" s="315"/>
    </row>
    <row r="53" spans="1:9" ht="24" customHeight="1">
      <c r="A53" s="6" t="s">
        <v>175</v>
      </c>
      <c r="B53" s="4" t="s">
        <v>163</v>
      </c>
      <c r="C53" s="8">
        <v>0</v>
      </c>
      <c r="D53" s="8">
        <v>0</v>
      </c>
      <c r="E53" s="8">
        <v>0</v>
      </c>
      <c r="I53" s="315"/>
    </row>
    <row r="54" spans="1:9" ht="51">
      <c r="A54" s="6" t="s">
        <v>176</v>
      </c>
      <c r="B54" s="329" t="s">
        <v>162</v>
      </c>
      <c r="C54" s="8">
        <f>63500+3400000</f>
        <v>3463500</v>
      </c>
      <c r="D54" s="8">
        <v>63500</v>
      </c>
      <c r="E54" s="8">
        <v>63500</v>
      </c>
      <c r="I54" s="315"/>
    </row>
    <row r="55" spans="1:9" ht="33.75">
      <c r="A55" s="12" t="s">
        <v>85</v>
      </c>
      <c r="B55" s="3" t="s">
        <v>753</v>
      </c>
      <c r="C55" s="19">
        <f>C56+C80</f>
        <v>79345395.65</v>
      </c>
      <c r="D55" s="19">
        <f>D56</f>
        <v>57584640</v>
      </c>
      <c r="E55" s="19">
        <f>E56</f>
        <v>57584640</v>
      </c>
      <c r="I55" s="315"/>
    </row>
    <row r="56" spans="1:9" ht="33.75">
      <c r="A56" s="12" t="s">
        <v>86</v>
      </c>
      <c r="B56" s="3" t="s">
        <v>87</v>
      </c>
      <c r="C56" s="19">
        <f>SUM(C57:C79)</f>
        <v>58669696</v>
      </c>
      <c r="D56" s="19">
        <f>SUM(D57:D79)</f>
        <v>57584640</v>
      </c>
      <c r="E56" s="19">
        <f>SUM(E57:E79)</f>
        <v>57584640</v>
      </c>
      <c r="I56" s="315"/>
    </row>
    <row r="57" spans="1:9" ht="67.5">
      <c r="A57" s="6" t="s">
        <v>88</v>
      </c>
      <c r="B57" s="10" t="s">
        <v>89</v>
      </c>
      <c r="C57" s="8">
        <v>100800</v>
      </c>
      <c r="D57" s="8">
        <v>100800</v>
      </c>
      <c r="E57" s="8">
        <v>100800</v>
      </c>
      <c r="I57" s="315"/>
    </row>
    <row r="58" spans="1:9" ht="51">
      <c r="A58" s="6" t="s">
        <v>90</v>
      </c>
      <c r="B58" s="10" t="s">
        <v>91</v>
      </c>
      <c r="C58" s="8">
        <v>72000</v>
      </c>
      <c r="D58" s="8">
        <v>72000</v>
      </c>
      <c r="E58" s="8">
        <v>72000</v>
      </c>
      <c r="I58" s="315"/>
    </row>
    <row r="59" spans="1:9" ht="51">
      <c r="A59" s="6" t="s">
        <v>92</v>
      </c>
      <c r="B59" s="4" t="s">
        <v>93</v>
      </c>
      <c r="C59" s="8">
        <v>4327680</v>
      </c>
      <c r="D59" s="8">
        <v>4327680</v>
      </c>
      <c r="E59" s="8">
        <v>4327680</v>
      </c>
      <c r="I59" s="315"/>
    </row>
    <row r="60" spans="1:9" ht="51">
      <c r="A60" s="6" t="s">
        <v>167</v>
      </c>
      <c r="B60" s="23" t="s">
        <v>164</v>
      </c>
      <c r="C60" s="8">
        <v>11000000</v>
      </c>
      <c r="D60" s="8">
        <v>11000000</v>
      </c>
      <c r="E60" s="8">
        <v>11000000</v>
      </c>
      <c r="I60" s="315"/>
    </row>
    <row r="61" spans="1:9" ht="51">
      <c r="A61" s="6" t="s">
        <v>94</v>
      </c>
      <c r="B61" s="10" t="s">
        <v>95</v>
      </c>
      <c r="C61" s="8">
        <v>72000</v>
      </c>
      <c r="D61" s="8">
        <v>72000</v>
      </c>
      <c r="E61" s="8">
        <v>72000</v>
      </c>
      <c r="I61" s="315"/>
    </row>
    <row r="62" spans="1:9" ht="51">
      <c r="A62" s="6" t="s">
        <v>96</v>
      </c>
      <c r="B62" s="10" t="s">
        <v>97</v>
      </c>
      <c r="C62" s="8">
        <v>21600</v>
      </c>
      <c r="D62" s="8">
        <v>21600</v>
      </c>
      <c r="E62" s="8">
        <v>21600</v>
      </c>
      <c r="I62" s="315"/>
    </row>
    <row r="63" spans="1:9" ht="51">
      <c r="A63" s="6" t="s">
        <v>98</v>
      </c>
      <c r="B63" s="4" t="s">
        <v>99</v>
      </c>
      <c r="C63" s="8">
        <v>3705600</v>
      </c>
      <c r="D63" s="8">
        <v>3705600</v>
      </c>
      <c r="E63" s="8">
        <v>3705600</v>
      </c>
      <c r="I63" s="315"/>
    </row>
    <row r="64" spans="1:9" ht="67.5">
      <c r="A64" s="6" t="s">
        <v>100</v>
      </c>
      <c r="B64" s="4" t="s">
        <v>4</v>
      </c>
      <c r="C64" s="8">
        <v>168480</v>
      </c>
      <c r="D64" s="8">
        <v>168480</v>
      </c>
      <c r="E64" s="8">
        <v>168480</v>
      </c>
      <c r="I64" s="315"/>
    </row>
    <row r="65" spans="1:9" ht="67.5">
      <c r="A65" s="6" t="s">
        <v>101</v>
      </c>
      <c r="B65" s="4" t="s">
        <v>5</v>
      </c>
      <c r="C65" s="8">
        <v>113040</v>
      </c>
      <c r="D65" s="8">
        <v>113040</v>
      </c>
      <c r="E65" s="8">
        <v>113040</v>
      </c>
      <c r="I65" s="315"/>
    </row>
    <row r="66" spans="1:9" ht="67.5">
      <c r="A66" s="6" t="s">
        <v>102</v>
      </c>
      <c r="B66" s="4" t="s">
        <v>6</v>
      </c>
      <c r="C66" s="8">
        <v>115200</v>
      </c>
      <c r="D66" s="8">
        <v>115200</v>
      </c>
      <c r="E66" s="8">
        <v>115200</v>
      </c>
      <c r="I66" s="315"/>
    </row>
    <row r="67" spans="1:9" ht="51">
      <c r="A67" s="6" t="s">
        <v>103</v>
      </c>
      <c r="B67" s="4" t="s">
        <v>7</v>
      </c>
      <c r="C67" s="8">
        <v>630000</v>
      </c>
      <c r="D67" s="8">
        <v>630000</v>
      </c>
      <c r="E67" s="8">
        <v>630000</v>
      </c>
      <c r="I67" s="315"/>
    </row>
    <row r="68" spans="1:9" ht="51">
      <c r="A68" s="6" t="s">
        <v>104</v>
      </c>
      <c r="B68" s="4" t="s">
        <v>105</v>
      </c>
      <c r="C68" s="8">
        <f>5468160+578509</f>
        <v>6046669</v>
      </c>
      <c r="D68" s="8">
        <v>5468160</v>
      </c>
      <c r="E68" s="8">
        <v>5468160</v>
      </c>
      <c r="I68" s="315"/>
    </row>
    <row r="69" spans="1:9" ht="51">
      <c r="A69" s="6" t="s">
        <v>106</v>
      </c>
      <c r="B69" s="4" t="s">
        <v>107</v>
      </c>
      <c r="C69" s="8">
        <v>4131840</v>
      </c>
      <c r="D69" s="8">
        <v>4131840</v>
      </c>
      <c r="E69" s="8">
        <v>4131840</v>
      </c>
      <c r="I69" s="315"/>
    </row>
    <row r="70" spans="1:9" ht="51">
      <c r="A70" s="6" t="s">
        <v>743</v>
      </c>
      <c r="B70" s="4" t="s">
        <v>742</v>
      </c>
      <c r="C70" s="8">
        <v>506547</v>
      </c>
      <c r="D70" s="8"/>
      <c r="E70" s="8"/>
      <c r="I70" s="315"/>
    </row>
    <row r="71" spans="1:9" ht="51">
      <c r="A71" s="6" t="s">
        <v>108</v>
      </c>
      <c r="B71" s="4" t="s">
        <v>109</v>
      </c>
      <c r="C71" s="8">
        <v>1477120</v>
      </c>
      <c r="D71" s="8">
        <v>1477120</v>
      </c>
      <c r="E71" s="8">
        <v>1477120</v>
      </c>
      <c r="I71" s="315"/>
    </row>
    <row r="72" spans="1:9" ht="67.5">
      <c r="A72" s="6" t="s">
        <v>110</v>
      </c>
      <c r="B72" s="4" t="s">
        <v>3</v>
      </c>
      <c r="C72" s="8">
        <v>384960</v>
      </c>
      <c r="D72" s="8">
        <v>384960</v>
      </c>
      <c r="E72" s="8">
        <v>384960</v>
      </c>
      <c r="I72" s="315"/>
    </row>
    <row r="73" spans="1:9" ht="51">
      <c r="A73" s="6" t="s">
        <v>111</v>
      </c>
      <c r="B73" s="4" t="s">
        <v>112</v>
      </c>
      <c r="C73" s="8">
        <v>5015040</v>
      </c>
      <c r="D73" s="8">
        <v>5015040</v>
      </c>
      <c r="E73" s="8">
        <v>5015040</v>
      </c>
      <c r="I73" s="315"/>
    </row>
    <row r="74" spans="1:9" ht="51">
      <c r="A74" s="6" t="s">
        <v>113</v>
      </c>
      <c r="B74" s="4" t="s">
        <v>114</v>
      </c>
      <c r="C74" s="8">
        <v>2152960</v>
      </c>
      <c r="D74" s="8">
        <v>2152960</v>
      </c>
      <c r="E74" s="8">
        <v>2152960</v>
      </c>
      <c r="I74" s="315"/>
    </row>
    <row r="75" spans="1:9" ht="51">
      <c r="A75" s="6" t="s">
        <v>115</v>
      </c>
      <c r="B75" s="4" t="s">
        <v>116</v>
      </c>
      <c r="C75" s="8">
        <v>5309440</v>
      </c>
      <c r="D75" s="8">
        <v>5309440</v>
      </c>
      <c r="E75" s="8">
        <v>5309440</v>
      </c>
      <c r="I75" s="315"/>
    </row>
    <row r="76" spans="1:9" ht="51">
      <c r="A76" s="6" t="s">
        <v>117</v>
      </c>
      <c r="B76" s="4" t="s">
        <v>118</v>
      </c>
      <c r="C76" s="8">
        <f>2240000+2268160</f>
        <v>4508160</v>
      </c>
      <c r="D76" s="8">
        <f>2240000+2268160</f>
        <v>4508160</v>
      </c>
      <c r="E76" s="8">
        <f>2240000+2268160</f>
        <v>4508160</v>
      </c>
      <c r="I76" s="315"/>
    </row>
    <row r="77" spans="1:9" ht="51">
      <c r="A77" s="6" t="s">
        <v>119</v>
      </c>
      <c r="B77" s="4" t="s">
        <v>8</v>
      </c>
      <c r="C77" s="8">
        <v>505920</v>
      </c>
      <c r="D77" s="8">
        <v>505920</v>
      </c>
      <c r="E77" s="8">
        <v>505920</v>
      </c>
      <c r="I77" s="315"/>
    </row>
    <row r="78" spans="1:9" ht="51">
      <c r="A78" s="6" t="s">
        <v>120</v>
      </c>
      <c r="B78" s="4" t="s">
        <v>121</v>
      </c>
      <c r="C78" s="8">
        <v>3517440</v>
      </c>
      <c r="D78" s="8">
        <v>3517440</v>
      </c>
      <c r="E78" s="8">
        <v>3517440</v>
      </c>
      <c r="I78" s="315"/>
    </row>
    <row r="79" spans="1:9" ht="51">
      <c r="A79" s="6" t="s">
        <v>122</v>
      </c>
      <c r="B79" s="4" t="s">
        <v>123</v>
      </c>
      <c r="C79" s="8">
        <v>4787200</v>
      </c>
      <c r="D79" s="8">
        <v>4787200</v>
      </c>
      <c r="E79" s="8">
        <v>4787200</v>
      </c>
      <c r="I79" s="315"/>
    </row>
    <row r="80" spans="1:9" ht="33.75">
      <c r="A80" s="6" t="s">
        <v>769</v>
      </c>
      <c r="B80" s="4" t="s">
        <v>729</v>
      </c>
      <c r="C80" s="8">
        <f>3522671.65+8291400+203768+3654360+3500+5000000</f>
        <v>20675699.65</v>
      </c>
      <c r="D80" s="8">
        <v>0</v>
      </c>
      <c r="E80" s="8">
        <v>0</v>
      </c>
      <c r="I80" s="315"/>
    </row>
    <row r="81" spans="1:5" ht="51">
      <c r="A81" s="12" t="s">
        <v>755</v>
      </c>
      <c r="B81" s="3" t="s">
        <v>124</v>
      </c>
      <c r="C81" s="19">
        <f>C82+C84</f>
        <v>3770000</v>
      </c>
      <c r="D81" s="19">
        <f>D82+D84</f>
        <v>2680000</v>
      </c>
      <c r="E81" s="19">
        <f>E82+E84</f>
        <v>2680000</v>
      </c>
    </row>
    <row r="82" spans="1:5" ht="118.5">
      <c r="A82" s="12" t="s">
        <v>125</v>
      </c>
      <c r="B82" s="3" t="s">
        <v>126</v>
      </c>
      <c r="C82" s="19">
        <f>C83</f>
        <v>1500000</v>
      </c>
      <c r="D82" s="19">
        <f>D83</f>
        <v>1500000</v>
      </c>
      <c r="E82" s="19">
        <f>E83</f>
        <v>1500000</v>
      </c>
    </row>
    <row r="83" spans="1:5" ht="120.75" customHeight="1">
      <c r="A83" s="330" t="s">
        <v>177</v>
      </c>
      <c r="B83" s="331" t="s">
        <v>9</v>
      </c>
      <c r="C83" s="8">
        <v>1500000</v>
      </c>
      <c r="D83" s="8">
        <v>1500000</v>
      </c>
      <c r="E83" s="8">
        <v>1500000</v>
      </c>
    </row>
    <row r="84" spans="1:5" ht="51">
      <c r="A84" s="244" t="s">
        <v>757</v>
      </c>
      <c r="B84" s="3" t="s">
        <v>127</v>
      </c>
      <c r="C84" s="19">
        <f>C85+C86</f>
        <v>2270000</v>
      </c>
      <c r="D84" s="19">
        <f>D85+D86</f>
        <v>1180000</v>
      </c>
      <c r="E84" s="19">
        <f>E85+E86</f>
        <v>1180000</v>
      </c>
    </row>
    <row r="85" spans="1:5" ht="102">
      <c r="A85" s="6" t="s">
        <v>756</v>
      </c>
      <c r="B85" s="4" t="s">
        <v>10</v>
      </c>
      <c r="C85" s="8">
        <v>100000</v>
      </c>
      <c r="D85" s="8">
        <v>100000</v>
      </c>
      <c r="E85" s="8">
        <v>100000</v>
      </c>
    </row>
    <row r="86" spans="1:5" ht="67.5">
      <c r="A86" s="6" t="s">
        <v>770</v>
      </c>
      <c r="B86" s="4" t="s">
        <v>11</v>
      </c>
      <c r="C86" s="8">
        <f>1080000+1090000</f>
        <v>2170000</v>
      </c>
      <c r="D86" s="8">
        <v>1080000</v>
      </c>
      <c r="E86" s="8">
        <v>1080000</v>
      </c>
    </row>
    <row r="87" spans="1:9" s="37" customFormat="1" ht="16.5">
      <c r="A87" s="244" t="s">
        <v>761</v>
      </c>
      <c r="B87" s="5" t="s">
        <v>754</v>
      </c>
      <c r="C87" s="19">
        <f>C88+C89</f>
        <v>2330000</v>
      </c>
      <c r="D87" s="19">
        <f>D88+D89</f>
        <v>0</v>
      </c>
      <c r="E87" s="19">
        <f>E88+E89</f>
        <v>0</v>
      </c>
      <c r="G87" s="312"/>
      <c r="I87" s="38"/>
    </row>
    <row r="88" spans="1:5" ht="84.75">
      <c r="A88" s="6" t="s">
        <v>760</v>
      </c>
      <c r="B88" s="4" t="s">
        <v>759</v>
      </c>
      <c r="C88" s="8">
        <v>1700000</v>
      </c>
      <c r="D88" s="8">
        <v>0</v>
      </c>
      <c r="E88" s="8">
        <v>0</v>
      </c>
    </row>
    <row r="89" spans="1:5" ht="84.75">
      <c r="A89" s="6" t="s">
        <v>762</v>
      </c>
      <c r="B89" s="4" t="s">
        <v>758</v>
      </c>
      <c r="C89" s="8">
        <v>630000</v>
      </c>
      <c r="D89" s="8">
        <v>0</v>
      </c>
      <c r="E89" s="8">
        <v>0</v>
      </c>
    </row>
    <row r="90" spans="1:5" ht="16.5">
      <c r="A90" s="244" t="s">
        <v>128</v>
      </c>
      <c r="B90" s="5" t="s">
        <v>129</v>
      </c>
      <c r="C90" s="19">
        <f>C91</f>
        <v>200000</v>
      </c>
      <c r="D90" s="19">
        <f>D91</f>
        <v>200000</v>
      </c>
      <c r="E90" s="19">
        <f>E91</f>
        <v>200000</v>
      </c>
    </row>
    <row r="91" spans="1:5" ht="33.75">
      <c r="A91" s="6" t="s">
        <v>130</v>
      </c>
      <c r="B91" s="4" t="s">
        <v>12</v>
      </c>
      <c r="C91" s="8">
        <v>200000</v>
      </c>
      <c r="D91" s="8">
        <v>200000</v>
      </c>
      <c r="E91" s="8">
        <v>200000</v>
      </c>
    </row>
    <row r="92" spans="1:5" ht="16.5">
      <c r="A92" s="6"/>
      <c r="B92" s="11" t="s">
        <v>131</v>
      </c>
      <c r="C92" s="19">
        <f>C90+C81+C55+C49+C33+C41+C38+C36+C26+C15+C21+C87</f>
        <v>2227298031.79</v>
      </c>
      <c r="D92" s="19">
        <f>D90+D81+D55+D49+D33+D41+D38+D36+D26+D15+D21+D87</f>
        <v>2196868000</v>
      </c>
      <c r="E92" s="19">
        <f>E90+E81+E55+E49+E33+E41+E38+E36+E26+E15+E21+E87</f>
        <v>2307440470</v>
      </c>
    </row>
    <row r="93" spans="1:5" ht="15.75" customHeight="1">
      <c r="A93" s="12" t="s">
        <v>132</v>
      </c>
      <c r="B93" s="3" t="s">
        <v>133</v>
      </c>
      <c r="C93" s="19">
        <f>C94+C137+C140+C141+C139</f>
        <v>1917998190.3300002</v>
      </c>
      <c r="D93" s="19">
        <f>D94+D137+D140+D141</f>
        <v>1502544051.56</v>
      </c>
      <c r="E93" s="19">
        <f>E94+E137+E140+E141</f>
        <v>1519502028.8899999</v>
      </c>
    </row>
    <row r="94" spans="1:5" ht="47.25" customHeight="1">
      <c r="A94" s="12" t="s">
        <v>134</v>
      </c>
      <c r="B94" s="3" t="s">
        <v>135</v>
      </c>
      <c r="C94" s="19">
        <f>C95+C98+C110+C135</f>
        <v>1903248207.14</v>
      </c>
      <c r="D94" s="19">
        <f>D95+D98+D110+D135</f>
        <v>1502544051.56</v>
      </c>
      <c r="E94" s="19">
        <f>E95+E98+E110+E135</f>
        <v>1519502028.8899999</v>
      </c>
    </row>
    <row r="95" spans="1:5" ht="31.5" customHeight="1">
      <c r="A95" s="12" t="s">
        <v>657</v>
      </c>
      <c r="B95" s="3" t="s">
        <v>136</v>
      </c>
      <c r="C95" s="19">
        <f>C96+C97</f>
        <v>60768927</v>
      </c>
      <c r="D95" s="19">
        <f>D96+D97</f>
        <v>0</v>
      </c>
      <c r="E95" s="19">
        <f>E96+E97</f>
        <v>0</v>
      </c>
    </row>
    <row r="96" spans="1:5" ht="30" customHeight="1" hidden="1">
      <c r="A96" s="13" t="s">
        <v>658</v>
      </c>
      <c r="B96" s="7" t="s">
        <v>137</v>
      </c>
      <c r="C96" s="176"/>
      <c r="D96" s="176"/>
      <c r="E96" s="15"/>
    </row>
    <row r="97" spans="1:5" ht="60" customHeight="1">
      <c r="A97" s="13" t="s">
        <v>656</v>
      </c>
      <c r="B97" s="7" t="s">
        <v>655</v>
      </c>
      <c r="C97" s="8">
        <f>1521000+1000000+47027000+433427+277500+10510000</f>
        <v>60768927</v>
      </c>
      <c r="D97" s="8">
        <v>0</v>
      </c>
      <c r="E97" s="8">
        <v>0</v>
      </c>
    </row>
    <row r="98" spans="1:9" s="37" customFormat="1" ht="31.5" customHeight="1">
      <c r="A98" s="12" t="s">
        <v>645</v>
      </c>
      <c r="B98" s="3" t="s">
        <v>138</v>
      </c>
      <c r="C98" s="19">
        <f>SUM(C99:C109)</f>
        <v>166203768.97000003</v>
      </c>
      <c r="D98" s="19">
        <f>SUM(D99:D109)</f>
        <v>24170239.19</v>
      </c>
      <c r="E98" s="19">
        <f>SUM(E99:E109)</f>
        <v>25905726.52</v>
      </c>
      <c r="G98" s="312"/>
      <c r="I98" s="38"/>
    </row>
    <row r="99" spans="1:5" ht="30" customHeight="1">
      <c r="A99" s="16" t="s">
        <v>659</v>
      </c>
      <c r="B99" s="7" t="s">
        <v>139</v>
      </c>
      <c r="C99" s="8">
        <f>2493000+2493510</f>
        <v>4986510</v>
      </c>
      <c r="D99" s="8">
        <v>0</v>
      </c>
      <c r="E99" s="8">
        <v>0</v>
      </c>
    </row>
    <row r="100" spans="1:5" ht="75.75" customHeight="1">
      <c r="A100" s="13" t="s">
        <v>679</v>
      </c>
      <c r="B100" s="7" t="s">
        <v>680</v>
      </c>
      <c r="C100" s="8">
        <v>24744000</v>
      </c>
      <c r="D100" s="8">
        <v>0</v>
      </c>
      <c r="E100" s="8">
        <v>0</v>
      </c>
    </row>
    <row r="101" spans="1:5" ht="60" customHeight="1">
      <c r="A101" s="16" t="s">
        <v>643</v>
      </c>
      <c r="B101" s="7" t="s">
        <v>644</v>
      </c>
      <c r="C101" s="8">
        <v>1474363</v>
      </c>
      <c r="D101" s="8">
        <v>0</v>
      </c>
      <c r="E101" s="8">
        <v>0</v>
      </c>
    </row>
    <row r="102" spans="1:5" ht="84.75">
      <c r="A102" s="316" t="s">
        <v>732</v>
      </c>
      <c r="B102" s="317" t="s">
        <v>682</v>
      </c>
      <c r="C102" s="353">
        <v>45390577.24</v>
      </c>
      <c r="D102" s="8">
        <v>24170239.19</v>
      </c>
      <c r="E102" s="8">
        <v>25905726.52</v>
      </c>
    </row>
    <row r="103" spans="1:5" ht="45" customHeight="1">
      <c r="A103" s="316" t="s">
        <v>747</v>
      </c>
      <c r="B103" s="317" t="s">
        <v>746</v>
      </c>
      <c r="C103" s="353">
        <v>2025466</v>
      </c>
      <c r="D103" s="8">
        <v>0</v>
      </c>
      <c r="E103" s="8">
        <v>0</v>
      </c>
    </row>
    <row r="104" spans="1:5" ht="67.5">
      <c r="A104" s="316" t="s">
        <v>749</v>
      </c>
      <c r="B104" s="317" t="s">
        <v>748</v>
      </c>
      <c r="C104" s="353">
        <v>7674372.65</v>
      </c>
      <c r="D104" s="8"/>
      <c r="E104" s="8"/>
    </row>
    <row r="105" spans="1:5" ht="45" customHeight="1" hidden="1">
      <c r="A105" s="316" t="s">
        <v>140</v>
      </c>
      <c r="B105" s="317" t="s">
        <v>141</v>
      </c>
      <c r="C105" s="353"/>
      <c r="D105" s="8"/>
      <c r="E105" s="8"/>
    </row>
    <row r="106" spans="1:5" ht="33.75" hidden="1">
      <c r="A106" s="16" t="s">
        <v>142</v>
      </c>
      <c r="B106" s="7" t="s">
        <v>143</v>
      </c>
      <c r="C106" s="8"/>
      <c r="D106" s="8"/>
      <c r="E106" s="8"/>
    </row>
    <row r="107" spans="1:5" ht="45" customHeight="1" hidden="1">
      <c r="A107" s="316" t="s">
        <v>144</v>
      </c>
      <c r="B107" s="317" t="s">
        <v>145</v>
      </c>
      <c r="C107" s="353"/>
      <c r="D107" s="353"/>
      <c r="E107" s="109"/>
    </row>
    <row r="108" spans="1:5" ht="51">
      <c r="A108" s="316" t="s">
        <v>681</v>
      </c>
      <c r="B108" s="317" t="s">
        <v>728</v>
      </c>
      <c r="C108" s="353">
        <v>19908480.08</v>
      </c>
      <c r="D108" s="353">
        <v>0</v>
      </c>
      <c r="E108" s="109">
        <v>0</v>
      </c>
    </row>
    <row r="109" spans="1:5" ht="84.75">
      <c r="A109" s="16" t="s">
        <v>675</v>
      </c>
      <c r="B109" s="7" t="s">
        <v>676</v>
      </c>
      <c r="C109" s="8">
        <v>60000000</v>
      </c>
      <c r="D109" s="8">
        <v>0</v>
      </c>
      <c r="E109" s="109">
        <v>0</v>
      </c>
    </row>
    <row r="110" spans="1:9" s="136" customFormat="1" ht="33.75">
      <c r="A110" s="12" t="s">
        <v>146</v>
      </c>
      <c r="B110" s="3" t="s">
        <v>147</v>
      </c>
      <c r="C110" s="19">
        <f>SUM(C111:C134)</f>
        <v>1669688392.97</v>
      </c>
      <c r="D110" s="19">
        <f>SUM(D111:D134)</f>
        <v>1478373812.37</v>
      </c>
      <c r="E110" s="19">
        <f>SUM(E111:E134)</f>
        <v>1493596302.37</v>
      </c>
      <c r="G110" s="312"/>
      <c r="I110" s="318"/>
    </row>
    <row r="111" spans="1:5" ht="67.5">
      <c r="A111" s="132" t="s">
        <v>687</v>
      </c>
      <c r="B111" s="240" t="s">
        <v>148</v>
      </c>
      <c r="C111" s="8">
        <v>274682.43</v>
      </c>
      <c r="D111" s="8">
        <v>274682</v>
      </c>
      <c r="E111" s="8">
        <v>274682</v>
      </c>
    </row>
    <row r="112" spans="1:5" ht="118.5">
      <c r="A112" s="132" t="s">
        <v>688</v>
      </c>
      <c r="B112" s="240" t="s">
        <v>689</v>
      </c>
      <c r="C112" s="8">
        <f>632099340+17937791</f>
        <v>650037131</v>
      </c>
      <c r="D112" s="8">
        <v>687707210</v>
      </c>
      <c r="E112" s="8">
        <v>704151110</v>
      </c>
    </row>
    <row r="113" spans="1:5" ht="135.75">
      <c r="A113" s="132" t="s">
        <v>690</v>
      </c>
      <c r="B113" s="240" t="s">
        <v>691</v>
      </c>
      <c r="C113" s="8">
        <f>55555960+1228460</f>
        <v>56784420</v>
      </c>
      <c r="D113" s="8">
        <v>55555960</v>
      </c>
      <c r="E113" s="8">
        <v>55555960</v>
      </c>
    </row>
    <row r="114" spans="1:5" ht="51">
      <c r="A114" s="132" t="s">
        <v>692</v>
      </c>
      <c r="B114" s="240" t="s">
        <v>693</v>
      </c>
      <c r="C114" s="8">
        <v>4462545.2</v>
      </c>
      <c r="D114" s="8">
        <v>3898575.82</v>
      </c>
      <c r="E114" s="8">
        <v>3898575.82</v>
      </c>
    </row>
    <row r="115" spans="1:5" ht="84.75">
      <c r="A115" s="132" t="s">
        <v>694</v>
      </c>
      <c r="B115" s="240" t="s">
        <v>695</v>
      </c>
      <c r="C115" s="8">
        <f>10955544.93+830266.79</f>
        <v>11785811.719999999</v>
      </c>
      <c r="D115" s="8">
        <v>10770270</v>
      </c>
      <c r="E115" s="8">
        <v>10770270</v>
      </c>
    </row>
    <row r="116" spans="1:5" ht="118.5">
      <c r="A116" s="132" t="s">
        <v>696</v>
      </c>
      <c r="B116" s="241" t="s">
        <v>697</v>
      </c>
      <c r="C116" s="8">
        <v>59625</v>
      </c>
      <c r="D116" s="8">
        <v>59625</v>
      </c>
      <c r="E116" s="8">
        <v>59625</v>
      </c>
    </row>
    <row r="117" spans="1:5" ht="51">
      <c r="A117" s="132" t="s">
        <v>149</v>
      </c>
      <c r="B117" s="240" t="s">
        <v>13</v>
      </c>
      <c r="C117" s="8">
        <v>276074110</v>
      </c>
      <c r="D117" s="8">
        <v>198888910</v>
      </c>
      <c r="E117" s="8">
        <v>197667500</v>
      </c>
    </row>
    <row r="118" spans="1:5" ht="67.5">
      <c r="A118" s="132" t="s">
        <v>698</v>
      </c>
      <c r="B118" s="240" t="s">
        <v>699</v>
      </c>
      <c r="C118" s="8">
        <v>1080244.38</v>
      </c>
      <c r="D118" s="8">
        <v>958087.92</v>
      </c>
      <c r="E118" s="8">
        <v>958087.92</v>
      </c>
    </row>
    <row r="119" spans="1:5" ht="33.75">
      <c r="A119" s="132" t="s">
        <v>700</v>
      </c>
      <c r="B119" s="242" t="s">
        <v>701</v>
      </c>
      <c r="C119" s="8">
        <v>2513387.3</v>
      </c>
      <c r="D119" s="8">
        <v>2349490</v>
      </c>
      <c r="E119" s="8">
        <v>2349490</v>
      </c>
    </row>
    <row r="120" spans="1:5" ht="51">
      <c r="A120" s="132" t="s">
        <v>702</v>
      </c>
      <c r="B120" s="240" t="s">
        <v>703</v>
      </c>
      <c r="C120" s="8">
        <v>1128807.29</v>
      </c>
      <c r="D120" s="8">
        <v>1032469</v>
      </c>
      <c r="E120" s="8">
        <v>1032469</v>
      </c>
    </row>
    <row r="121" spans="1:17" s="27" customFormat="1" ht="33.75">
      <c r="A121" s="132" t="s">
        <v>704</v>
      </c>
      <c r="B121" s="240" t="s">
        <v>14</v>
      </c>
      <c r="C121" s="8">
        <v>1340692.42</v>
      </c>
      <c r="D121" s="8">
        <v>604274</v>
      </c>
      <c r="E121" s="8">
        <v>604274</v>
      </c>
      <c r="F121" s="1"/>
      <c r="G121" s="308"/>
      <c r="H121" s="1"/>
      <c r="J121" s="1"/>
      <c r="K121" s="1"/>
      <c r="L121" s="1"/>
      <c r="M121" s="1"/>
      <c r="N121" s="1"/>
      <c r="O121" s="1"/>
      <c r="P121" s="1"/>
      <c r="Q121" s="1"/>
    </row>
    <row r="122" spans="1:17" s="27" customFormat="1" ht="51">
      <c r="A122" s="132" t="s">
        <v>705</v>
      </c>
      <c r="B122" s="240" t="s">
        <v>706</v>
      </c>
      <c r="C122" s="8">
        <f>1346738.63+103251.25</f>
        <v>1449989.88</v>
      </c>
      <c r="D122" s="8">
        <v>1346738.63</v>
      </c>
      <c r="E122" s="8">
        <v>1346738.63</v>
      </c>
      <c r="F122" s="1"/>
      <c r="G122" s="308"/>
      <c r="H122" s="1"/>
      <c r="J122" s="1"/>
      <c r="K122" s="1"/>
      <c r="L122" s="1"/>
      <c r="M122" s="1"/>
      <c r="N122" s="1"/>
      <c r="O122" s="1"/>
      <c r="P122" s="1"/>
      <c r="Q122" s="1"/>
    </row>
    <row r="123" spans="1:17" s="27" customFormat="1" ht="67.5">
      <c r="A123" s="132" t="s">
        <v>707</v>
      </c>
      <c r="B123" s="240" t="s">
        <v>708</v>
      </c>
      <c r="C123" s="8">
        <f>399982530+12923740</f>
        <v>412906270</v>
      </c>
      <c r="D123" s="8">
        <v>399982530</v>
      </c>
      <c r="E123" s="8">
        <v>399982530</v>
      </c>
      <c r="F123" s="1"/>
      <c r="G123" s="308"/>
      <c r="H123" s="1"/>
      <c r="J123" s="1"/>
      <c r="K123" s="1"/>
      <c r="L123" s="1"/>
      <c r="M123" s="1"/>
      <c r="N123" s="1"/>
      <c r="O123" s="1"/>
      <c r="P123" s="1"/>
      <c r="Q123" s="1"/>
    </row>
    <row r="124" spans="1:17" s="27" customFormat="1" ht="102">
      <c r="A124" s="132" t="s">
        <v>642</v>
      </c>
      <c r="B124" s="319" t="s">
        <v>709</v>
      </c>
      <c r="C124" s="8">
        <v>2079072.22</v>
      </c>
      <c r="D124" s="8">
        <v>0</v>
      </c>
      <c r="E124" s="8">
        <v>0</v>
      </c>
      <c r="F124" s="1"/>
      <c r="G124" s="308"/>
      <c r="H124" s="1"/>
      <c r="J124" s="1"/>
      <c r="K124" s="1"/>
      <c r="L124" s="1"/>
      <c r="M124" s="1"/>
      <c r="N124" s="1"/>
      <c r="O124" s="1"/>
      <c r="P124" s="1"/>
      <c r="Q124" s="1"/>
    </row>
    <row r="125" spans="1:17" s="27" customFormat="1" ht="67.5">
      <c r="A125" s="132" t="s">
        <v>710</v>
      </c>
      <c r="B125" s="240" t="s">
        <v>161</v>
      </c>
      <c r="C125" s="8">
        <v>55621368</v>
      </c>
      <c r="D125" s="8">
        <v>0</v>
      </c>
      <c r="E125" s="8">
        <v>0</v>
      </c>
      <c r="F125" s="1"/>
      <c r="G125" s="308"/>
      <c r="H125" s="1"/>
      <c r="J125" s="1"/>
      <c r="K125" s="1"/>
      <c r="L125" s="1"/>
      <c r="M125" s="1"/>
      <c r="N125" s="1"/>
      <c r="O125" s="1"/>
      <c r="P125" s="1"/>
      <c r="Q125" s="1"/>
    </row>
    <row r="126" spans="1:17" s="27" customFormat="1" ht="84.75">
      <c r="A126" s="132" t="s">
        <v>711</v>
      </c>
      <c r="B126" s="241" t="s">
        <v>712</v>
      </c>
      <c r="C126" s="8">
        <v>3297600</v>
      </c>
      <c r="D126" s="8">
        <v>3297600</v>
      </c>
      <c r="E126" s="8">
        <v>3297600</v>
      </c>
      <c r="F126" s="1"/>
      <c r="G126" s="308"/>
      <c r="J126" s="1"/>
      <c r="K126" s="1"/>
      <c r="L126" s="1"/>
      <c r="M126" s="1"/>
      <c r="N126" s="1"/>
      <c r="O126" s="1"/>
      <c r="P126" s="1"/>
      <c r="Q126" s="1"/>
    </row>
    <row r="127" spans="1:17" s="27" customFormat="1" ht="67.5">
      <c r="A127" s="132" t="s">
        <v>713</v>
      </c>
      <c r="B127" s="240" t="s">
        <v>714</v>
      </c>
      <c r="C127" s="8">
        <v>43274300</v>
      </c>
      <c r="D127" s="8">
        <v>31641200</v>
      </c>
      <c r="E127" s="8">
        <v>31641200</v>
      </c>
      <c r="F127" s="1"/>
      <c r="G127" s="308"/>
      <c r="J127" s="1"/>
      <c r="K127" s="1"/>
      <c r="L127" s="1"/>
      <c r="M127" s="1"/>
      <c r="N127" s="1"/>
      <c r="O127" s="1"/>
      <c r="P127" s="1"/>
      <c r="Q127" s="1"/>
    </row>
    <row r="128" spans="1:17" s="27" customFormat="1" ht="51">
      <c r="A128" s="132" t="s">
        <v>715</v>
      </c>
      <c r="B128" s="243" t="s">
        <v>716</v>
      </c>
      <c r="C128" s="8">
        <v>9730000</v>
      </c>
      <c r="D128" s="8">
        <v>0</v>
      </c>
      <c r="E128" s="8">
        <v>0</v>
      </c>
      <c r="F128" s="1"/>
      <c r="G128" s="308"/>
      <c r="H128" s="1"/>
      <c r="J128" s="1"/>
      <c r="K128" s="1"/>
      <c r="L128" s="1"/>
      <c r="M128" s="1"/>
      <c r="N128" s="1"/>
      <c r="O128" s="1"/>
      <c r="P128" s="1"/>
      <c r="Q128" s="1"/>
    </row>
    <row r="129" spans="1:17" s="27" customFormat="1" ht="51">
      <c r="A129" s="132" t="s">
        <v>717</v>
      </c>
      <c r="B129" s="243" t="s">
        <v>718</v>
      </c>
      <c r="C129" s="8">
        <v>11938960.5</v>
      </c>
      <c r="D129" s="8">
        <v>0</v>
      </c>
      <c r="E129" s="8">
        <v>0</v>
      </c>
      <c r="F129" s="1"/>
      <c r="G129" s="308"/>
      <c r="H129" s="1"/>
      <c r="J129" s="1"/>
      <c r="K129" s="1"/>
      <c r="L129" s="1"/>
      <c r="M129" s="1"/>
      <c r="N129" s="1"/>
      <c r="O129" s="1"/>
      <c r="P129" s="1"/>
      <c r="Q129" s="1"/>
    </row>
    <row r="130" spans="1:17" s="27" customFormat="1" ht="67.5">
      <c r="A130" s="132" t="s">
        <v>719</v>
      </c>
      <c r="B130" s="243" t="s">
        <v>720</v>
      </c>
      <c r="C130" s="8">
        <v>67066000</v>
      </c>
      <c r="D130" s="8">
        <v>25970000</v>
      </c>
      <c r="E130" s="8">
        <v>25970000</v>
      </c>
      <c r="F130" s="1"/>
      <c r="G130" s="308"/>
      <c r="H130" s="1"/>
      <c r="J130" s="1"/>
      <c r="K130" s="1"/>
      <c r="L130" s="1"/>
      <c r="M130" s="1"/>
      <c r="N130" s="1"/>
      <c r="O130" s="1"/>
      <c r="P130" s="1"/>
      <c r="Q130" s="1"/>
    </row>
    <row r="131" spans="1:17" s="27" customFormat="1" ht="153">
      <c r="A131" s="132" t="s">
        <v>721</v>
      </c>
      <c r="B131" s="243" t="s">
        <v>722</v>
      </c>
      <c r="C131" s="8">
        <v>6895821</v>
      </c>
      <c r="D131" s="8">
        <v>0</v>
      </c>
      <c r="E131" s="8">
        <v>0</v>
      </c>
      <c r="F131" s="1"/>
      <c r="G131" s="308"/>
      <c r="H131" s="1"/>
      <c r="J131" s="1"/>
      <c r="K131" s="1"/>
      <c r="L131" s="1"/>
      <c r="M131" s="1"/>
      <c r="N131" s="1"/>
      <c r="O131" s="1"/>
      <c r="P131" s="1"/>
      <c r="Q131" s="1"/>
    </row>
    <row r="132" spans="1:17" s="27" customFormat="1" ht="102">
      <c r="A132" s="132" t="s">
        <v>723</v>
      </c>
      <c r="B132" s="241" t="s">
        <v>733</v>
      </c>
      <c r="C132" s="8">
        <f>6258000-4261730</f>
        <v>1996270</v>
      </c>
      <c r="D132" s="8">
        <v>6258000</v>
      </c>
      <c r="E132" s="8">
        <v>6258000</v>
      </c>
      <c r="F132" s="1"/>
      <c r="G132" s="308"/>
      <c r="H132" s="1"/>
      <c r="J132" s="1"/>
      <c r="K132" s="1"/>
      <c r="L132" s="1"/>
      <c r="M132" s="1"/>
      <c r="N132" s="1"/>
      <c r="O132" s="1"/>
      <c r="P132" s="1"/>
      <c r="Q132" s="1"/>
    </row>
    <row r="133" spans="1:17" s="27" customFormat="1" ht="67.5">
      <c r="A133" s="132" t="s">
        <v>724</v>
      </c>
      <c r="B133" s="241" t="s">
        <v>725</v>
      </c>
      <c r="C133" s="8">
        <v>113094.63</v>
      </c>
      <c r="D133" s="19"/>
      <c r="E133" s="19"/>
      <c r="F133" s="1"/>
      <c r="G133" s="308"/>
      <c r="H133" s="1"/>
      <c r="J133" s="1"/>
      <c r="K133" s="1"/>
      <c r="L133" s="1"/>
      <c r="M133" s="1"/>
      <c r="N133" s="1"/>
      <c r="O133" s="1"/>
      <c r="P133" s="1"/>
      <c r="Q133" s="1"/>
    </row>
    <row r="134" spans="1:17" s="27" customFormat="1" ht="135.75">
      <c r="A134" s="132" t="s">
        <v>726</v>
      </c>
      <c r="B134" s="7" t="s">
        <v>727</v>
      </c>
      <c r="C134" s="8">
        <v>47778190</v>
      </c>
      <c r="D134" s="8">
        <v>47778190</v>
      </c>
      <c r="E134" s="8">
        <v>47778190</v>
      </c>
      <c r="F134" s="1"/>
      <c r="G134" s="308"/>
      <c r="H134" s="1"/>
      <c r="J134" s="1"/>
      <c r="K134" s="1"/>
      <c r="L134" s="1"/>
      <c r="M134" s="1"/>
      <c r="N134" s="1"/>
      <c r="O134" s="1"/>
      <c r="P134" s="1"/>
      <c r="Q134" s="1"/>
    </row>
    <row r="135" spans="1:9" s="136" customFormat="1" ht="15.75" customHeight="1">
      <c r="A135" s="12" t="s">
        <v>150</v>
      </c>
      <c r="B135" s="3" t="s">
        <v>151</v>
      </c>
      <c r="C135" s="19">
        <f>SUM(C136:C136)</f>
        <v>6587118.2</v>
      </c>
      <c r="D135" s="19">
        <f>SUM(D136:D136)</f>
        <v>0</v>
      </c>
      <c r="E135" s="19">
        <f>SUM(E136:E136)</f>
        <v>0</v>
      </c>
      <c r="G135" s="312"/>
      <c r="I135" s="318"/>
    </row>
    <row r="136" spans="1:5" ht="75.75" customHeight="1">
      <c r="A136" s="13" t="s">
        <v>152</v>
      </c>
      <c r="B136" s="7" t="s">
        <v>153</v>
      </c>
      <c r="C136" s="8">
        <v>6587118.2</v>
      </c>
      <c r="D136" s="8">
        <v>0</v>
      </c>
      <c r="E136" s="320">
        <v>0</v>
      </c>
    </row>
    <row r="137" spans="1:9" s="37" customFormat="1" ht="15.75" customHeight="1">
      <c r="A137" s="12" t="s">
        <v>738</v>
      </c>
      <c r="B137" s="3" t="s">
        <v>154</v>
      </c>
      <c r="C137" s="19">
        <f>C138</f>
        <v>11145010</v>
      </c>
      <c r="D137" s="19">
        <f>D138</f>
        <v>0</v>
      </c>
      <c r="E137" s="19">
        <f>E138</f>
        <v>0</v>
      </c>
      <c r="G137" s="312"/>
      <c r="I137" s="38"/>
    </row>
    <row r="138" spans="1:8" ht="30" customHeight="1">
      <c r="A138" s="13" t="s">
        <v>737</v>
      </c>
      <c r="B138" s="7" t="s">
        <v>15</v>
      </c>
      <c r="C138" s="8">
        <f>9250000+1895010</f>
        <v>11145010</v>
      </c>
      <c r="D138" s="19"/>
      <c r="E138" s="321"/>
      <c r="H138" s="27"/>
    </row>
    <row r="139" spans="1:8" ht="50.25" customHeight="1">
      <c r="A139" s="12" t="s">
        <v>736</v>
      </c>
      <c r="B139" s="3" t="s">
        <v>735</v>
      </c>
      <c r="C139" s="19">
        <f>376255.2+10000000+2186753.16+266625.22+1254745.52+2006945.83+8000000+375536.72</f>
        <v>24466861.65</v>
      </c>
      <c r="D139" s="19"/>
      <c r="E139" s="321"/>
      <c r="H139" s="27"/>
    </row>
    <row r="140" spans="1:9" s="37" customFormat="1" ht="63" customHeight="1">
      <c r="A140" s="12" t="s">
        <v>741</v>
      </c>
      <c r="B140" s="3" t="s">
        <v>155</v>
      </c>
      <c r="C140" s="19">
        <f>54.07+4000188.78</f>
        <v>4000242.8499999996</v>
      </c>
      <c r="D140" s="19"/>
      <c r="E140" s="321"/>
      <c r="G140" s="312"/>
      <c r="I140" s="38"/>
    </row>
    <row r="141" spans="1:9" s="37" customFormat="1" ht="63" customHeight="1">
      <c r="A141" s="12" t="s">
        <v>771</v>
      </c>
      <c r="B141" s="3" t="s">
        <v>156</v>
      </c>
      <c r="C141" s="19">
        <f>-3654360-15510277.7-54.07-112384.02-2186753.16-266625.22-3500-23716.14-3104461</f>
        <v>-24862131.31</v>
      </c>
      <c r="D141" s="19"/>
      <c r="E141" s="19"/>
      <c r="G141" s="312"/>
      <c r="I141" s="38"/>
    </row>
    <row r="142" spans="1:9" s="136" customFormat="1" ht="15.75">
      <c r="A142" s="322"/>
      <c r="B142" s="323" t="s">
        <v>157</v>
      </c>
      <c r="C142" s="111">
        <f>C92+C93</f>
        <v>4145296222.12</v>
      </c>
      <c r="D142" s="111">
        <f>D92+D93</f>
        <v>3699412051.56</v>
      </c>
      <c r="E142" s="111">
        <f>E92+E93</f>
        <v>3826942498.89</v>
      </c>
      <c r="G142" s="312"/>
      <c r="I142" s="318"/>
    </row>
    <row r="146" spans="1:5" ht="15.75" hidden="1">
      <c r="A146" s="324"/>
      <c r="B146" s="325" t="s">
        <v>158</v>
      </c>
      <c r="C146" s="326">
        <f>C15+C21+C26+C36+C38</f>
        <v>1722459936.14</v>
      </c>
      <c r="D146" s="326">
        <f>D15+D21+D26+D36+D38</f>
        <v>1719914160</v>
      </c>
      <c r="E146" s="326">
        <f>E15+E21+E26+E36+E38</f>
        <v>1829834030</v>
      </c>
    </row>
    <row r="147" spans="2:5" ht="15.75" hidden="1">
      <c r="B147" s="2" t="s">
        <v>159</v>
      </c>
      <c r="C147" s="327">
        <f>C41+C49+C55+C81</f>
        <v>502130095.65</v>
      </c>
      <c r="D147" s="327">
        <f>D41+D49+D55+D81</f>
        <v>476575840</v>
      </c>
      <c r="E147" s="327">
        <f>E41+E49+E55+E81</f>
        <v>477228440</v>
      </c>
    </row>
    <row r="148" spans="2:5" ht="15.75" hidden="1">
      <c r="B148" s="2" t="s">
        <v>160</v>
      </c>
      <c r="C148" s="327">
        <f>C146+C147</f>
        <v>2224590031.79</v>
      </c>
      <c r="D148" s="327">
        <f>D146+D147</f>
        <v>2196490000</v>
      </c>
      <c r="E148" s="327">
        <f>E146+E147</f>
        <v>2307062470</v>
      </c>
    </row>
    <row r="149" spans="3:5" ht="15.75">
      <c r="C149" s="327"/>
      <c r="D149" s="327"/>
      <c r="E149" s="327"/>
    </row>
  </sheetData>
  <sheetProtection/>
  <mergeCells count="6">
    <mergeCell ref="D7:E7"/>
    <mergeCell ref="A11:E11"/>
    <mergeCell ref="D2:E2"/>
    <mergeCell ref="D3:E3"/>
    <mergeCell ref="D4:E4"/>
    <mergeCell ref="D5:E5"/>
  </mergeCells>
  <printOptions/>
  <pageMargins left="0.6299212598425197" right="0.2362204724409449" top="0.35433070866141736" bottom="0.35433070866141736" header="0.31496062992125984" footer="0.31496062992125984"/>
  <pageSetup fitToHeight="4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82"/>
  <sheetViews>
    <sheetView zoomScalePageLayoutView="0" workbookViewId="0" topLeftCell="A1">
      <selection activeCell="F2" sqref="E2:F7"/>
    </sheetView>
  </sheetViews>
  <sheetFormatPr defaultColWidth="8.8515625" defaultRowHeight="15"/>
  <cols>
    <col min="1" max="1" width="65.7109375" style="2" customWidth="1"/>
    <col min="2" max="2" width="19.421875" style="26" customWidth="1"/>
    <col min="3" max="3" width="7.7109375" style="26" customWidth="1"/>
    <col min="4" max="4" width="22.421875" style="220" customWidth="1"/>
    <col min="5" max="5" width="20.421875" style="220" customWidth="1"/>
    <col min="6" max="6" width="25.421875" style="220" customWidth="1"/>
    <col min="7" max="7" width="14.28125" style="27" customWidth="1"/>
    <col min="8" max="8" width="20.00390625" style="27" customWidth="1"/>
    <col min="9" max="9" width="12.140625" style="27" bestFit="1" customWidth="1"/>
    <col min="10" max="10" width="11.421875" style="27" bestFit="1" customWidth="1"/>
    <col min="11" max="11" width="10.7109375" style="27" bestFit="1" customWidth="1"/>
    <col min="12" max="12" width="12.8515625" style="27" customWidth="1"/>
    <col min="13" max="13" width="11.421875" style="27" bestFit="1" customWidth="1"/>
    <col min="14" max="14" width="10.7109375" style="27" bestFit="1" customWidth="1"/>
    <col min="15" max="15" width="12.140625" style="27" bestFit="1" customWidth="1"/>
    <col min="16" max="16" width="10.7109375" style="27" bestFit="1" customWidth="1"/>
    <col min="17" max="20" width="9.140625" style="27" customWidth="1"/>
    <col min="21" max="184" width="9.140625" style="1" customWidth="1"/>
    <col min="185" max="185" width="65.7109375" style="1" customWidth="1"/>
    <col min="186" max="186" width="19.421875" style="1" customWidth="1"/>
    <col min="187" max="187" width="7.7109375" style="1" customWidth="1"/>
    <col min="188" max="188" width="19.28125" style="1" bestFit="1" customWidth="1"/>
    <col min="189" max="194" width="0" style="28" hidden="1" customWidth="1"/>
    <col min="195" max="196" width="13.421875" style="1" bestFit="1" customWidth="1"/>
    <col min="197" max="197" width="12.421875" style="1" bestFit="1" customWidth="1"/>
    <col min="198" max="198" width="10.7109375" style="1" bestFit="1" customWidth="1"/>
    <col min="199" max="199" width="12.421875" style="1" bestFit="1" customWidth="1"/>
    <col min="200" max="16384" width="9.140625" style="1" customWidth="1"/>
  </cols>
  <sheetData>
    <row r="2" spans="2:6" ht="18">
      <c r="B2" s="25"/>
      <c r="E2" s="364" t="s">
        <v>629</v>
      </c>
      <c r="F2" s="365"/>
    </row>
    <row r="3" spans="2:6" ht="18">
      <c r="B3" s="25"/>
      <c r="E3" s="377" t="s">
        <v>772</v>
      </c>
      <c r="F3" s="377"/>
    </row>
    <row r="4" spans="2:6" ht="18">
      <c r="B4" s="25"/>
      <c r="E4" s="377" t="s">
        <v>17</v>
      </c>
      <c r="F4" s="377"/>
    </row>
    <row r="5" spans="2:6" ht="18">
      <c r="B5" s="25"/>
      <c r="E5" s="377" t="s">
        <v>18</v>
      </c>
      <c r="F5" s="377"/>
    </row>
    <row r="6" spans="2:6" ht="18">
      <c r="B6" s="25"/>
      <c r="E6" s="371" t="s">
        <v>773</v>
      </c>
      <c r="F6" s="371"/>
    </row>
    <row r="7" spans="2:6" ht="18">
      <c r="B7" s="25"/>
      <c r="E7" s="377" t="s">
        <v>774</v>
      </c>
      <c r="F7" s="377"/>
    </row>
    <row r="8" spans="2:6" ht="18">
      <c r="B8" s="25"/>
      <c r="E8" s="366"/>
      <c r="F8" s="221"/>
    </row>
    <row r="11" spans="1:6" ht="103.5" customHeight="1">
      <c r="A11" s="379" t="s">
        <v>288</v>
      </c>
      <c r="B11" s="379"/>
      <c r="C11" s="379"/>
      <c r="D11" s="380"/>
      <c r="E11" s="380"/>
      <c r="F11" s="380"/>
    </row>
    <row r="12" ht="18">
      <c r="A12" s="29"/>
    </row>
    <row r="13" ht="15.75">
      <c r="F13" s="30" t="s">
        <v>178</v>
      </c>
    </row>
    <row r="14" spans="1:6" ht="55.5" customHeight="1">
      <c r="A14" s="31" t="s">
        <v>20</v>
      </c>
      <c r="B14" s="32" t="s">
        <v>179</v>
      </c>
      <c r="C14" s="32" t="s">
        <v>180</v>
      </c>
      <c r="D14" s="33" t="s">
        <v>21</v>
      </c>
      <c r="E14" s="33" t="s">
        <v>22</v>
      </c>
      <c r="F14" s="33" t="s">
        <v>166</v>
      </c>
    </row>
    <row r="15" spans="1:256" s="39" customFormat="1" ht="16.5">
      <c r="A15" s="34" t="s">
        <v>181</v>
      </c>
      <c r="B15" s="35"/>
      <c r="C15" s="35"/>
      <c r="D15" s="36">
        <f>D16+D44+D71+D76+D91+D99+D117+D125+D131+D145+D157+D162+D166+D171+D174</f>
        <v>2070198419.94</v>
      </c>
      <c r="E15" s="36">
        <f>E16+E44+E71+E76+E91+E99+E117+E125+E131+E145+E157+E162+E166+E171+E174</f>
        <v>1615371928.8599997</v>
      </c>
      <c r="F15" s="36">
        <f>F16+F44+F71+F76+F91+F99+F117+F125+F131+F145+F157+F162+F166+F171+F174</f>
        <v>1619555998.5800002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6" ht="16.5">
      <c r="A16" s="40" t="s">
        <v>182</v>
      </c>
      <c r="B16" s="41" t="s">
        <v>183</v>
      </c>
      <c r="C16" s="42"/>
      <c r="D16" s="227">
        <f>D17+D22+D34+D38</f>
        <v>962926284.53</v>
      </c>
      <c r="E16" s="227">
        <f>E17+E22+E34+E38</f>
        <v>972074997.18</v>
      </c>
      <c r="F16" s="227">
        <f>F17+F22+F34+F38</f>
        <v>974599911.51</v>
      </c>
    </row>
    <row r="17" spans="1:6" ht="16.5">
      <c r="A17" s="43" t="s">
        <v>184</v>
      </c>
      <c r="B17" s="44" t="s">
        <v>185</v>
      </c>
      <c r="C17" s="45"/>
      <c r="D17" s="228">
        <f>SUM(D18:D21)</f>
        <v>80628461.64</v>
      </c>
      <c r="E17" s="228">
        <f>SUM(E18:E21)</f>
        <v>83274533</v>
      </c>
      <c r="F17" s="228">
        <f>SUM(F18:F21)</f>
        <v>83274533</v>
      </c>
    </row>
    <row r="18" spans="1:6" ht="67.5">
      <c r="A18" s="46" t="s">
        <v>186</v>
      </c>
      <c r="B18" s="47" t="s">
        <v>185</v>
      </c>
      <c r="C18" s="32">
        <v>100</v>
      </c>
      <c r="D18" s="77">
        <f>51577456+113892</f>
        <v>51691348</v>
      </c>
      <c r="E18" s="77">
        <v>51577456</v>
      </c>
      <c r="F18" s="77">
        <v>51577456</v>
      </c>
    </row>
    <row r="19" spans="1:6" ht="33.75">
      <c r="A19" s="48" t="s">
        <v>187</v>
      </c>
      <c r="B19" s="47" t="s">
        <v>185</v>
      </c>
      <c r="C19" s="32">
        <v>200</v>
      </c>
      <c r="D19" s="77">
        <f>11142077-2409151+446436.94+50000+750000</f>
        <v>9979362.94</v>
      </c>
      <c r="E19" s="77">
        <v>11142077</v>
      </c>
      <c r="F19" s="77">
        <v>11142077</v>
      </c>
    </row>
    <row r="20" spans="1:6" ht="16.5">
      <c r="A20" s="46" t="s">
        <v>188</v>
      </c>
      <c r="B20" s="47" t="s">
        <v>185</v>
      </c>
      <c r="C20" s="32">
        <v>300</v>
      </c>
      <c r="D20" s="77">
        <f>16555000+491373.36+1911377.34</f>
        <v>18957750.7</v>
      </c>
      <c r="E20" s="77">
        <v>16555000</v>
      </c>
      <c r="F20" s="77">
        <v>16555000</v>
      </c>
    </row>
    <row r="21" spans="1:6" ht="16.5">
      <c r="A21" s="46" t="s">
        <v>189</v>
      </c>
      <c r="B21" s="47" t="s">
        <v>185</v>
      </c>
      <c r="C21" s="32">
        <v>800</v>
      </c>
      <c r="D21" s="77">
        <f>4000000-4000000</f>
        <v>0</v>
      </c>
      <c r="E21" s="77">
        <v>4000000</v>
      </c>
      <c r="F21" s="77">
        <v>4000000</v>
      </c>
    </row>
    <row r="22" spans="1:6" ht="16.5">
      <c r="A22" s="49" t="s">
        <v>190</v>
      </c>
      <c r="B22" s="50" t="s">
        <v>191</v>
      </c>
      <c r="C22" s="51"/>
      <c r="D22" s="52">
        <f>D23+D28</f>
        <v>726496181.96</v>
      </c>
      <c r="E22" s="52">
        <f>E23+E28</f>
        <v>754019475.8599999</v>
      </c>
      <c r="F22" s="52">
        <f>F23+F28</f>
        <v>756286425.55</v>
      </c>
    </row>
    <row r="23" spans="1:6" ht="16.5">
      <c r="A23" s="53" t="s">
        <v>192</v>
      </c>
      <c r="B23" s="44" t="s">
        <v>193</v>
      </c>
      <c r="C23" s="45"/>
      <c r="D23" s="229">
        <f>D24+D25+D26+D27</f>
        <v>322679524.94</v>
      </c>
      <c r="E23" s="229">
        <f>E24+E25+E26+E27</f>
        <v>333576586.28</v>
      </c>
      <c r="F23" s="229">
        <f>F24+F25+F26+F27</f>
        <v>333576586.28</v>
      </c>
    </row>
    <row r="24" spans="1:6" ht="67.5">
      <c r="A24" s="46" t="s">
        <v>186</v>
      </c>
      <c r="B24" s="47" t="s">
        <v>193</v>
      </c>
      <c r="C24" s="32">
        <v>100</v>
      </c>
      <c r="D24" s="77">
        <f>160572845.09-50000-45650-29438-11445-135750+395133.89-212425.4-63852.71-60768.1-842799.02+1668077.92-425066-472843.9</f>
        <v>160286018.76999995</v>
      </c>
      <c r="E24" s="77">
        <v>160572845.09</v>
      </c>
      <c r="F24" s="77">
        <v>160572845.09</v>
      </c>
    </row>
    <row r="25" spans="1:6" ht="33.75">
      <c r="A25" s="48" t="s">
        <v>187</v>
      </c>
      <c r="B25" s="47" t="s">
        <v>193</v>
      </c>
      <c r="C25" s="32">
        <v>200</v>
      </c>
      <c r="D25" s="77">
        <f>171278020.99-17358746.46+1663915+33747.02+313808.69+316640.26+198750+1159359.96+12752968.8-9822772.8+183375.11-6681.76+842799.02+425066-4063772.04-317427.77</f>
        <v>157599050.02000004</v>
      </c>
      <c r="E25" s="77">
        <f>171278020.99-6808480.8</f>
        <v>164469540.19</v>
      </c>
      <c r="F25" s="77">
        <f>171278020.99-6808480.8</f>
        <v>164469540.19</v>
      </c>
    </row>
    <row r="26" spans="1:6" ht="16.5">
      <c r="A26" s="48" t="s">
        <v>188</v>
      </c>
      <c r="B26" s="47" t="s">
        <v>193</v>
      </c>
      <c r="C26" s="32">
        <v>300</v>
      </c>
      <c r="D26" s="77">
        <f>50000+45650+29438+11445+212425.4+63852.71</f>
        <v>412811.11000000004</v>
      </c>
      <c r="E26" s="77"/>
      <c r="F26" s="77"/>
    </row>
    <row r="27" spans="1:6" ht="16.5">
      <c r="A27" s="46" t="s">
        <v>189</v>
      </c>
      <c r="B27" s="47" t="s">
        <v>193</v>
      </c>
      <c r="C27" s="32">
        <v>800</v>
      </c>
      <c r="D27" s="77">
        <f>8534201-63000-1159359.96-2930196</f>
        <v>4381645.04</v>
      </c>
      <c r="E27" s="77">
        <v>8534201</v>
      </c>
      <c r="F27" s="77">
        <v>8534201</v>
      </c>
    </row>
    <row r="28" spans="1:6" ht="16.5">
      <c r="A28" s="54" t="s">
        <v>194</v>
      </c>
      <c r="B28" s="44" t="s">
        <v>195</v>
      </c>
      <c r="C28" s="45"/>
      <c r="D28" s="230">
        <f>SUM(D29:D33)</f>
        <v>403816657.02</v>
      </c>
      <c r="E28" s="230">
        <f>SUM(E29:E33)</f>
        <v>420442889.58</v>
      </c>
      <c r="F28" s="230">
        <f>SUM(F29:F33)</f>
        <v>422709839.27</v>
      </c>
    </row>
    <row r="29" spans="1:6" ht="67.5">
      <c r="A29" s="48" t="s">
        <v>186</v>
      </c>
      <c r="B29" s="47" t="s">
        <v>195</v>
      </c>
      <c r="C29" s="32">
        <v>100</v>
      </c>
      <c r="D29" s="77">
        <f>85982452-250000-94875-64200+1764084.62-41750-363-65100</f>
        <v>87230248.62</v>
      </c>
      <c r="E29" s="77">
        <v>86586452</v>
      </c>
      <c r="F29" s="77">
        <v>86122077</v>
      </c>
    </row>
    <row r="30" spans="1:6" ht="33.75">
      <c r="A30" s="48" t="s">
        <v>187</v>
      </c>
      <c r="B30" s="47" t="s">
        <v>195</v>
      </c>
      <c r="C30" s="32">
        <v>200</v>
      </c>
      <c r="D30" s="77">
        <f>65090536.79-3388585.23+250000+150000+297000+94875-150000-31500-72.83-41000-30000+41750-12053.33</f>
        <v>62270950.400000006</v>
      </c>
      <c r="E30" s="77">
        <v>63877575.51</v>
      </c>
      <c r="F30" s="77">
        <v>63877575.51</v>
      </c>
    </row>
    <row r="31" spans="1:6" ht="16.5">
      <c r="A31" s="48" t="s">
        <v>188</v>
      </c>
      <c r="B31" s="47" t="s">
        <v>195</v>
      </c>
      <c r="C31" s="32">
        <v>300</v>
      </c>
      <c r="D31" s="77">
        <f>65100</f>
        <v>65100</v>
      </c>
      <c r="E31" s="77"/>
      <c r="F31" s="77"/>
    </row>
    <row r="32" spans="1:6" ht="33.75">
      <c r="A32" s="46" t="s">
        <v>196</v>
      </c>
      <c r="B32" s="47" t="s">
        <v>195</v>
      </c>
      <c r="C32" s="32">
        <v>600</v>
      </c>
      <c r="D32" s="77">
        <f>274832390.99-13854233.3-17088626.65+1647510+175000+2490832.09+4063772.04</f>
        <v>252266645.17</v>
      </c>
      <c r="E32" s="77">
        <v>268409046.07</v>
      </c>
      <c r="F32" s="77">
        <v>271140370.76</v>
      </c>
    </row>
    <row r="33" spans="1:6" ht="16.5">
      <c r="A33" s="46" t="s">
        <v>189</v>
      </c>
      <c r="B33" s="47" t="s">
        <v>195</v>
      </c>
      <c r="C33" s="32">
        <v>800</v>
      </c>
      <c r="D33" s="77">
        <f>1581140+300000+31500+72.83+41000+30000</f>
        <v>1983712.83</v>
      </c>
      <c r="E33" s="77">
        <v>1569816</v>
      </c>
      <c r="F33" s="77">
        <v>1569816</v>
      </c>
    </row>
    <row r="34" spans="1:6" ht="16.5">
      <c r="A34" s="55" t="s">
        <v>197</v>
      </c>
      <c r="B34" s="44" t="s">
        <v>198</v>
      </c>
      <c r="C34" s="56"/>
      <c r="D34" s="57">
        <f>D35+D36+D37</f>
        <v>87880646.92999999</v>
      </c>
      <c r="E34" s="57">
        <f>E35+E36+E37</f>
        <v>81729230.47</v>
      </c>
      <c r="F34" s="57">
        <f>F35+F36+F37</f>
        <v>81987195.11</v>
      </c>
    </row>
    <row r="35" spans="1:6" ht="75.75" customHeight="1">
      <c r="A35" s="48" t="s">
        <v>186</v>
      </c>
      <c r="B35" s="47" t="s">
        <v>198</v>
      </c>
      <c r="C35" s="58">
        <v>100</v>
      </c>
      <c r="D35" s="77">
        <f>74083704.13-14854.21+124827.24</f>
        <v>74193677.16</v>
      </c>
      <c r="E35" s="77">
        <v>74163704.13</v>
      </c>
      <c r="F35" s="77">
        <v>74163704.13</v>
      </c>
    </row>
    <row r="36" spans="1:6" ht="33.75">
      <c r="A36" s="48" t="s">
        <v>187</v>
      </c>
      <c r="B36" s="47" t="s">
        <v>198</v>
      </c>
      <c r="C36" s="32">
        <v>200</v>
      </c>
      <c r="D36" s="77">
        <f>9359523.4-2017559.23-2043291+538575+70000+350000+2335635.08+980000+506547-3495.93-8030.24+1019065.69</f>
        <v>11086969.77</v>
      </c>
      <c r="E36" s="77">
        <v>7565526.34</v>
      </c>
      <c r="F36" s="77">
        <v>7823490.98</v>
      </c>
    </row>
    <row r="37" spans="1:6" ht="16.5">
      <c r="A37" s="46" t="s">
        <v>189</v>
      </c>
      <c r="B37" s="47" t="s">
        <v>198</v>
      </c>
      <c r="C37" s="32">
        <v>800</v>
      </c>
      <c r="D37" s="60">
        <v>2600000</v>
      </c>
      <c r="E37" s="77">
        <v>0</v>
      </c>
      <c r="F37" s="77">
        <v>0</v>
      </c>
    </row>
    <row r="38" spans="1:6" ht="16.5">
      <c r="A38" s="59" t="s">
        <v>199</v>
      </c>
      <c r="B38" s="44" t="s">
        <v>200</v>
      </c>
      <c r="C38" s="45"/>
      <c r="D38" s="57">
        <f>SUM(D39:D43)</f>
        <v>67920994</v>
      </c>
      <c r="E38" s="57">
        <f>SUM(E39:E43)</f>
        <v>53051757.85</v>
      </c>
      <c r="F38" s="57">
        <f>SUM(F39:F43)</f>
        <v>53051757.85</v>
      </c>
    </row>
    <row r="39" spans="1:194" ht="67.5">
      <c r="A39" s="48" t="s">
        <v>186</v>
      </c>
      <c r="B39" s="47" t="s">
        <v>200</v>
      </c>
      <c r="C39" s="32">
        <v>100</v>
      </c>
      <c r="D39" s="333">
        <f>2959685+8848687.05+2958943.95</f>
        <v>14767316</v>
      </c>
      <c r="E39" s="333">
        <v>0</v>
      </c>
      <c r="F39" s="333">
        <v>0</v>
      </c>
      <c r="GG39" s="1"/>
      <c r="GH39" s="1"/>
      <c r="GI39" s="1"/>
      <c r="GJ39" s="1"/>
      <c r="GK39" s="1"/>
      <c r="GL39" s="1"/>
    </row>
    <row r="40" spans="1:194" ht="33.75">
      <c r="A40" s="48" t="s">
        <v>187</v>
      </c>
      <c r="B40" s="47" t="s">
        <v>200</v>
      </c>
      <c r="C40" s="32">
        <v>200</v>
      </c>
      <c r="D40" s="333">
        <f>1872664+2958943.95+1193852.72+13938514+5143753.95-2958943.95</f>
        <v>22148784.67</v>
      </c>
      <c r="E40" s="333">
        <v>0</v>
      </c>
      <c r="F40" s="333">
        <v>0</v>
      </c>
      <c r="GG40" s="1"/>
      <c r="GH40" s="1"/>
      <c r="GI40" s="1"/>
      <c r="GJ40" s="1"/>
      <c r="GK40" s="1"/>
      <c r="GL40" s="1"/>
    </row>
    <row r="41" spans="1:256" s="28" customFormat="1" ht="24" customHeight="1" hidden="1">
      <c r="A41" s="48" t="s">
        <v>188</v>
      </c>
      <c r="B41" s="47" t="s">
        <v>200</v>
      </c>
      <c r="C41" s="32">
        <v>300</v>
      </c>
      <c r="D41" s="60"/>
      <c r="E41" s="60"/>
      <c r="F41" s="60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8" customFormat="1" ht="33.75">
      <c r="A42" s="46" t="s">
        <v>196</v>
      </c>
      <c r="B42" s="47" t="s">
        <v>200</v>
      </c>
      <c r="C42" s="32">
        <v>600</v>
      </c>
      <c r="D42" s="77">
        <f>14557686.2-530694.35+10865131.2+140000+8446272+8291400-10865131.2+100229.48</f>
        <v>31004893.33</v>
      </c>
      <c r="E42" s="77">
        <f>14557686.2-530694.35</f>
        <v>14026991.85</v>
      </c>
      <c r="F42" s="77">
        <f>14557686.2-530694.35</f>
        <v>14026991.85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8" customFormat="1" ht="24" customHeight="1">
      <c r="A43" s="46" t="s">
        <v>189</v>
      </c>
      <c r="B43" s="47" t="s">
        <v>200</v>
      </c>
      <c r="C43" s="32">
        <v>800</v>
      </c>
      <c r="D43" s="77">
        <f>25746145+13278621-13278621-2958943.95-22787201.05+2958943.95-2958943.95</f>
        <v>0</v>
      </c>
      <c r="E43" s="77">
        <f>25746145+13278621</f>
        <v>39024766</v>
      </c>
      <c r="F43" s="77">
        <f>25746145+13278621</f>
        <v>39024766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6" ht="25.5" customHeight="1">
      <c r="A44" s="40" t="s">
        <v>201</v>
      </c>
      <c r="B44" s="41" t="s">
        <v>202</v>
      </c>
      <c r="C44" s="42"/>
      <c r="D44" s="61">
        <f>D45+D50+D53+D66+D64</f>
        <v>237318005.79000002</v>
      </c>
      <c r="E44" s="61">
        <f>E45+E50+E53+E66+E64</f>
        <v>236857200</v>
      </c>
      <c r="F44" s="61">
        <f>F45+F50+F53+F66+F64</f>
        <v>236857200</v>
      </c>
    </row>
    <row r="45" spans="1:6" ht="16.5">
      <c r="A45" s="62" t="s">
        <v>184</v>
      </c>
      <c r="B45" s="63" t="s">
        <v>203</v>
      </c>
      <c r="C45" s="35"/>
      <c r="D45" s="64">
        <f>SUM(D46:D49)</f>
        <v>39813998.47</v>
      </c>
      <c r="E45" s="64">
        <f>SUM(E46:E49)</f>
        <v>29915700</v>
      </c>
      <c r="F45" s="64">
        <f>SUM(F46:F49)</f>
        <v>29915700</v>
      </c>
    </row>
    <row r="46" spans="1:6" ht="75" customHeight="1">
      <c r="A46" s="46" t="s">
        <v>186</v>
      </c>
      <c r="B46" s="47" t="s">
        <v>203</v>
      </c>
      <c r="C46" s="32">
        <v>100</v>
      </c>
      <c r="D46" s="77">
        <f>22773700-100000-285677.91+739031.47-250000</f>
        <v>22877053.56</v>
      </c>
      <c r="E46" s="77">
        <v>22773700</v>
      </c>
      <c r="F46" s="77">
        <v>22773700</v>
      </c>
    </row>
    <row r="47" spans="1:6" ht="33.75">
      <c r="A47" s="48" t="s">
        <v>187</v>
      </c>
      <c r="B47" s="47" t="s">
        <v>203</v>
      </c>
      <c r="C47" s="32">
        <v>200</v>
      </c>
      <c r="D47" s="77">
        <f>7131700-440900-1484300+150000-50000+250000</f>
        <v>5556500</v>
      </c>
      <c r="E47" s="77">
        <v>7131700</v>
      </c>
      <c r="F47" s="77">
        <v>7131700</v>
      </c>
    </row>
    <row r="48" spans="1:6" ht="16.5">
      <c r="A48" s="48" t="s">
        <v>188</v>
      </c>
      <c r="B48" s="47" t="s">
        <v>203</v>
      </c>
      <c r="C48" s="32">
        <v>300</v>
      </c>
      <c r="D48" s="95">
        <f>285677.91+50000</f>
        <v>335677.91</v>
      </c>
      <c r="E48" s="77"/>
      <c r="F48" s="77"/>
    </row>
    <row r="49" spans="1:6" ht="16.5">
      <c r="A49" s="46" t="s">
        <v>189</v>
      </c>
      <c r="B49" s="47" t="s">
        <v>203</v>
      </c>
      <c r="C49" s="32">
        <v>800</v>
      </c>
      <c r="D49" s="77">
        <f>10300+11034467</f>
        <v>11044767</v>
      </c>
      <c r="E49" s="77">
        <v>10300</v>
      </c>
      <c r="F49" s="77">
        <v>10300</v>
      </c>
    </row>
    <row r="50" spans="1:6" ht="16.5">
      <c r="A50" s="62" t="s">
        <v>204</v>
      </c>
      <c r="B50" s="63" t="s">
        <v>205</v>
      </c>
      <c r="C50" s="35"/>
      <c r="D50" s="64">
        <f>SUM(D51:D52)</f>
        <v>2248800</v>
      </c>
      <c r="E50" s="64">
        <f>SUM(E51:E52)</f>
        <v>2480300</v>
      </c>
      <c r="F50" s="64">
        <f>SUM(F51:F52)</f>
        <v>2480300</v>
      </c>
    </row>
    <row r="51" spans="1:6" ht="33.75">
      <c r="A51" s="48" t="s">
        <v>187</v>
      </c>
      <c r="B51" s="47" t="s">
        <v>205</v>
      </c>
      <c r="C51" s="32">
        <v>200</v>
      </c>
      <c r="D51" s="77">
        <f>2470300-231500</f>
        <v>2238800</v>
      </c>
      <c r="E51" s="77">
        <v>2470300</v>
      </c>
      <c r="F51" s="77">
        <v>2470300</v>
      </c>
    </row>
    <row r="52" spans="1:6" ht="16.5">
      <c r="A52" s="46" t="s">
        <v>189</v>
      </c>
      <c r="B52" s="47" t="s">
        <v>205</v>
      </c>
      <c r="C52" s="32">
        <v>800</v>
      </c>
      <c r="D52" s="77">
        <v>10000</v>
      </c>
      <c r="E52" s="77">
        <v>10000</v>
      </c>
      <c r="F52" s="77">
        <v>10000</v>
      </c>
    </row>
    <row r="53" spans="1:6" ht="51">
      <c r="A53" s="65" t="s">
        <v>206</v>
      </c>
      <c r="B53" s="63" t="s">
        <v>207</v>
      </c>
      <c r="C53" s="35"/>
      <c r="D53" s="64">
        <f>D54+D59</f>
        <v>101233617.59</v>
      </c>
      <c r="E53" s="64">
        <f>E54+E59</f>
        <v>107040400</v>
      </c>
      <c r="F53" s="64">
        <f>F54+F59</f>
        <v>107040400</v>
      </c>
    </row>
    <row r="54" spans="1:6" ht="16.5">
      <c r="A54" s="65" t="s">
        <v>632</v>
      </c>
      <c r="B54" s="63" t="s">
        <v>289</v>
      </c>
      <c r="C54" s="35"/>
      <c r="D54" s="64">
        <f>SUBTOTAL(9,D55:D58)</f>
        <v>79622317.59</v>
      </c>
      <c r="E54" s="64">
        <f>SUBTOTAL(9,E55:E58)</f>
        <v>83746900</v>
      </c>
      <c r="F54" s="64">
        <f>SUBTOTAL(9,F55:F58)</f>
        <v>83746900</v>
      </c>
    </row>
    <row r="55" spans="1:6" ht="67.5">
      <c r="A55" s="46" t="s">
        <v>186</v>
      </c>
      <c r="B55" s="47" t="s">
        <v>289</v>
      </c>
      <c r="C55" s="32">
        <v>100</v>
      </c>
      <c r="D55" s="77">
        <f>63476900-200000+66917.59-462342</f>
        <v>62881475.59</v>
      </c>
      <c r="E55" s="77">
        <v>63476900</v>
      </c>
      <c r="F55" s="77">
        <v>63476900</v>
      </c>
    </row>
    <row r="56" spans="1:6" ht="33.75">
      <c r="A56" s="48" t="s">
        <v>187</v>
      </c>
      <c r="B56" s="47" t="s">
        <v>289</v>
      </c>
      <c r="C56" s="32">
        <v>200</v>
      </c>
      <c r="D56" s="77">
        <f>19748900-3606400-385100-50000-240000-3000+462342</f>
        <v>15926742</v>
      </c>
      <c r="E56" s="77">
        <v>19748900</v>
      </c>
      <c r="F56" s="77">
        <v>19748900</v>
      </c>
    </row>
    <row r="57" spans="1:6" ht="16.5">
      <c r="A57" s="48" t="s">
        <v>188</v>
      </c>
      <c r="B57" s="47" t="s">
        <v>289</v>
      </c>
      <c r="C57" s="32">
        <v>300</v>
      </c>
      <c r="D57" s="77">
        <v>50000</v>
      </c>
      <c r="E57" s="77">
        <v>0</v>
      </c>
      <c r="F57" s="77">
        <v>0</v>
      </c>
    </row>
    <row r="58" spans="1:6" ht="16.5">
      <c r="A58" s="46" t="s">
        <v>189</v>
      </c>
      <c r="B58" s="47" t="s">
        <v>289</v>
      </c>
      <c r="C58" s="32">
        <v>800</v>
      </c>
      <c r="D58" s="77">
        <f>521100+240000+3000</f>
        <v>764100</v>
      </c>
      <c r="E58" s="77">
        <v>521100</v>
      </c>
      <c r="F58" s="77">
        <v>521100</v>
      </c>
    </row>
    <row r="59" spans="1:6" ht="16.5">
      <c r="A59" s="66" t="s">
        <v>633</v>
      </c>
      <c r="B59" s="63" t="s">
        <v>290</v>
      </c>
      <c r="C59" s="35"/>
      <c r="D59" s="334">
        <f>SUBTOTAL(9,D60:D63)</f>
        <v>21611300</v>
      </c>
      <c r="E59" s="334">
        <f>SUBTOTAL(9,E60:E63)</f>
        <v>23293500</v>
      </c>
      <c r="F59" s="334">
        <f>SUBTOTAL(9,F60:F63)</f>
        <v>23293500</v>
      </c>
    </row>
    <row r="60" spans="1:6" ht="67.5">
      <c r="A60" s="46" t="s">
        <v>186</v>
      </c>
      <c r="B60" s="47" t="s">
        <v>290</v>
      </c>
      <c r="C60" s="32">
        <v>100</v>
      </c>
      <c r="D60" s="77">
        <f>20169700-186000</f>
        <v>19983700</v>
      </c>
      <c r="E60" s="77">
        <v>20169700</v>
      </c>
      <c r="F60" s="77">
        <v>20169700</v>
      </c>
    </row>
    <row r="61" spans="1:6" ht="33.75">
      <c r="A61" s="48" t="s">
        <v>187</v>
      </c>
      <c r="B61" s="47" t="s">
        <v>290</v>
      </c>
      <c r="C61" s="32">
        <v>200</v>
      </c>
      <c r="D61" s="77">
        <f>3036200-700300-981900</f>
        <v>1354000</v>
      </c>
      <c r="E61" s="77">
        <v>3036200</v>
      </c>
      <c r="F61" s="77">
        <v>3036200</v>
      </c>
    </row>
    <row r="62" spans="1:6" ht="16.5">
      <c r="A62" s="48" t="s">
        <v>188</v>
      </c>
      <c r="B62" s="47" t="s">
        <v>290</v>
      </c>
      <c r="C62" s="32">
        <v>300</v>
      </c>
      <c r="D62" s="77">
        <f>186000</f>
        <v>186000</v>
      </c>
      <c r="E62" s="77"/>
      <c r="F62" s="77"/>
    </row>
    <row r="63" spans="1:6" ht="16.5">
      <c r="A63" s="46" t="s">
        <v>189</v>
      </c>
      <c r="B63" s="47" t="s">
        <v>290</v>
      </c>
      <c r="C63" s="32">
        <v>800</v>
      </c>
      <c r="D63" s="77">
        <v>87600</v>
      </c>
      <c r="E63" s="77">
        <v>87600</v>
      </c>
      <c r="F63" s="77">
        <v>87600</v>
      </c>
    </row>
    <row r="64" spans="1:6" ht="33.75" hidden="1">
      <c r="A64" s="67" t="s">
        <v>210</v>
      </c>
      <c r="B64" s="63" t="s">
        <v>211</v>
      </c>
      <c r="C64" s="35"/>
      <c r="D64" s="222">
        <f>D65</f>
        <v>0</v>
      </c>
      <c r="E64" s="222">
        <f>E65</f>
        <v>0</v>
      </c>
      <c r="F64" s="222">
        <f>F65</f>
        <v>0</v>
      </c>
    </row>
    <row r="65" spans="1:6" ht="33.75" hidden="1">
      <c r="A65" s="46" t="s">
        <v>212</v>
      </c>
      <c r="B65" s="47" t="s">
        <v>211</v>
      </c>
      <c r="C65" s="32">
        <v>400</v>
      </c>
      <c r="D65" s="77">
        <v>0</v>
      </c>
      <c r="E65" s="77">
        <v>0</v>
      </c>
      <c r="F65" s="77">
        <v>0</v>
      </c>
    </row>
    <row r="66" spans="1:6" ht="16.5">
      <c r="A66" s="66" t="s">
        <v>197</v>
      </c>
      <c r="B66" s="63" t="s">
        <v>198</v>
      </c>
      <c r="C66" s="35"/>
      <c r="D66" s="64">
        <f>SUM(D67:D70)</f>
        <v>94021589.73</v>
      </c>
      <c r="E66" s="64">
        <f>SUM(E67:E70)</f>
        <v>97420800</v>
      </c>
      <c r="F66" s="64">
        <f>SUM(F67:F70)</f>
        <v>97420800</v>
      </c>
    </row>
    <row r="67" spans="1:6" ht="67.5">
      <c r="A67" s="48" t="s">
        <v>186</v>
      </c>
      <c r="B67" s="47" t="s">
        <v>198</v>
      </c>
      <c r="C67" s="32">
        <v>100</v>
      </c>
      <c r="D67" s="77">
        <f>86918500-95000+618589.73-238555-632985</f>
        <v>86570549.73</v>
      </c>
      <c r="E67" s="77">
        <v>86918500</v>
      </c>
      <c r="F67" s="77">
        <v>86918500</v>
      </c>
    </row>
    <row r="68" spans="1:6" ht="33.75">
      <c r="A68" s="48" t="s">
        <v>187</v>
      </c>
      <c r="B68" s="47" t="s">
        <v>198</v>
      </c>
      <c r="C68" s="32">
        <v>200</v>
      </c>
      <c r="D68" s="77">
        <f>10476500-2794800-1223000-90937.63-50000+632985</f>
        <v>6950747.37</v>
      </c>
      <c r="E68" s="77">
        <v>10476500</v>
      </c>
      <c r="F68" s="77">
        <v>10476500</v>
      </c>
    </row>
    <row r="69" spans="1:6" ht="16.5">
      <c r="A69" s="48" t="s">
        <v>188</v>
      </c>
      <c r="B69" s="47" t="s">
        <v>198</v>
      </c>
      <c r="C69" s="32">
        <v>300</v>
      </c>
      <c r="D69" s="77">
        <f>90937.63+50000+238555</f>
        <v>379492.63</v>
      </c>
      <c r="E69" s="77"/>
      <c r="F69" s="77"/>
    </row>
    <row r="70" spans="1:6" ht="16.5">
      <c r="A70" s="46" t="s">
        <v>189</v>
      </c>
      <c r="B70" s="47" t="s">
        <v>198</v>
      </c>
      <c r="C70" s="32">
        <v>800</v>
      </c>
      <c r="D70" s="77">
        <f>25800+95000</f>
        <v>120800</v>
      </c>
      <c r="E70" s="77">
        <v>25800</v>
      </c>
      <c r="F70" s="77">
        <v>25800</v>
      </c>
    </row>
    <row r="71" spans="1:6" ht="31.5" customHeight="1">
      <c r="A71" s="40" t="s">
        <v>213</v>
      </c>
      <c r="B71" s="41" t="s">
        <v>214</v>
      </c>
      <c r="C71" s="42"/>
      <c r="D71" s="61">
        <f>D72</f>
        <v>4633000</v>
      </c>
      <c r="E71" s="61">
        <f>E72</f>
        <v>4716760</v>
      </c>
      <c r="F71" s="61">
        <f>F72</f>
        <v>4716760</v>
      </c>
    </row>
    <row r="72" spans="1:6" ht="16.5">
      <c r="A72" s="66" t="s">
        <v>215</v>
      </c>
      <c r="B72" s="63" t="s">
        <v>216</v>
      </c>
      <c r="C72" s="35"/>
      <c r="D72" s="64">
        <f>D73+D74+D75</f>
        <v>4633000</v>
      </c>
      <c r="E72" s="64">
        <f>E73+E74+E75</f>
        <v>4716760</v>
      </c>
      <c r="F72" s="64">
        <f>F73+F74+F75</f>
        <v>4716760</v>
      </c>
    </row>
    <row r="73" spans="1:6" ht="33.75" hidden="1">
      <c r="A73" s="46" t="s">
        <v>187</v>
      </c>
      <c r="B73" s="47" t="s">
        <v>216</v>
      </c>
      <c r="C73" s="32">
        <v>200</v>
      </c>
      <c r="D73" s="77"/>
      <c r="E73" s="77"/>
      <c r="F73" s="77">
        <v>0</v>
      </c>
    </row>
    <row r="74" spans="1:6" ht="16.5">
      <c r="A74" s="48" t="s">
        <v>188</v>
      </c>
      <c r="B74" s="47" t="s">
        <v>216</v>
      </c>
      <c r="C74" s="32">
        <v>300</v>
      </c>
      <c r="D74" s="77">
        <f>416760-83760</f>
        <v>333000</v>
      </c>
      <c r="E74" s="77">
        <v>416760</v>
      </c>
      <c r="F74" s="77">
        <v>416760</v>
      </c>
    </row>
    <row r="75" spans="1:6" ht="26.25" customHeight="1">
      <c r="A75" s="46" t="s">
        <v>189</v>
      </c>
      <c r="B75" s="47" t="s">
        <v>216</v>
      </c>
      <c r="C75" s="32">
        <v>800</v>
      </c>
      <c r="D75" s="77">
        <v>4300000</v>
      </c>
      <c r="E75" s="77">
        <v>4300000</v>
      </c>
      <c r="F75" s="77">
        <v>4300000</v>
      </c>
    </row>
    <row r="76" spans="1:6" ht="51">
      <c r="A76" s="68" t="s">
        <v>217</v>
      </c>
      <c r="B76" s="69" t="s">
        <v>218</v>
      </c>
      <c r="C76" s="69"/>
      <c r="D76" s="61">
        <f>D77+D80</f>
        <v>99205561.61999999</v>
      </c>
      <c r="E76" s="61">
        <f>E77+E80</f>
        <v>61634121.07</v>
      </c>
      <c r="F76" s="61">
        <f>F77+F80</f>
        <v>62525602.43</v>
      </c>
    </row>
    <row r="77" spans="1:6" ht="16.5">
      <c r="A77" s="70" t="s">
        <v>219</v>
      </c>
      <c r="B77" s="71" t="s">
        <v>220</v>
      </c>
      <c r="C77" s="71"/>
      <c r="D77" s="64">
        <f>SUM(D78:D79)</f>
        <v>1907618.8499999999</v>
      </c>
      <c r="E77" s="64">
        <f>SUM(E78:E79)</f>
        <v>2491566.61</v>
      </c>
      <c r="F77" s="64">
        <f>SUM(F78:F79)</f>
        <v>2491566.61</v>
      </c>
    </row>
    <row r="78" spans="1:6" ht="67.5">
      <c r="A78" s="48" t="s">
        <v>186</v>
      </c>
      <c r="B78" s="72" t="s">
        <v>220</v>
      </c>
      <c r="C78" s="72" t="s">
        <v>221</v>
      </c>
      <c r="D78" s="77">
        <f>1295346.42-486623.22-97324.54</f>
        <v>711398.6599999999</v>
      </c>
      <c r="E78" s="77">
        <v>1295346.42</v>
      </c>
      <c r="F78" s="77">
        <v>1295346.42</v>
      </c>
    </row>
    <row r="79" spans="1:6" ht="33.75">
      <c r="A79" s="46" t="s">
        <v>187</v>
      </c>
      <c r="B79" s="72" t="s">
        <v>220</v>
      </c>
      <c r="C79" s="73">
        <v>200</v>
      </c>
      <c r="D79" s="77">
        <f>1196220.19</f>
        <v>1196220.19</v>
      </c>
      <c r="E79" s="60">
        <v>1196220.19</v>
      </c>
      <c r="F79" s="77">
        <v>1196220.19</v>
      </c>
    </row>
    <row r="80" spans="1:194" s="37" customFormat="1" ht="33.75">
      <c r="A80" s="66" t="s">
        <v>292</v>
      </c>
      <c r="B80" s="71" t="s">
        <v>291</v>
      </c>
      <c r="C80" s="74"/>
      <c r="D80" s="222">
        <f>D81+D83+D85+D87+D89</f>
        <v>97297942.77</v>
      </c>
      <c r="E80" s="222">
        <f>E81+E83+E85+E87+E89</f>
        <v>59142554.46</v>
      </c>
      <c r="F80" s="222">
        <f>F81+F83+F85+F87+F89</f>
        <v>60034035.82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GG80" s="39"/>
      <c r="GH80" s="39"/>
      <c r="GI80" s="39"/>
      <c r="GJ80" s="39"/>
      <c r="GK80" s="39"/>
      <c r="GL80" s="39"/>
    </row>
    <row r="81" spans="1:256" s="39" customFormat="1" ht="16.5">
      <c r="A81" s="66" t="s">
        <v>293</v>
      </c>
      <c r="B81" s="71" t="s">
        <v>291</v>
      </c>
      <c r="C81" s="74"/>
      <c r="D81" s="64">
        <f>D82</f>
        <v>57916375</v>
      </c>
      <c r="E81" s="64">
        <f>E82</f>
        <v>23413525</v>
      </c>
      <c r="F81" s="64">
        <f>F82</f>
        <v>23413525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6" ht="16.5">
      <c r="A82" s="46" t="s">
        <v>189</v>
      </c>
      <c r="B82" s="72" t="s">
        <v>291</v>
      </c>
      <c r="C82" s="73">
        <v>800</v>
      </c>
      <c r="D82" s="77">
        <f>131146375-95000000-3325000+25095000</f>
        <v>57916375</v>
      </c>
      <c r="E82" s="60">
        <v>23413525</v>
      </c>
      <c r="F82" s="77">
        <v>23413525</v>
      </c>
    </row>
    <row r="83" spans="1:256" ht="16.5">
      <c r="A83" s="66" t="s">
        <v>640</v>
      </c>
      <c r="B83" s="71" t="s">
        <v>291</v>
      </c>
      <c r="C83" s="74"/>
      <c r="D83" s="222">
        <f>D84</f>
        <v>4019498</v>
      </c>
      <c r="E83" s="222">
        <f>E84</f>
        <v>0</v>
      </c>
      <c r="F83" s="222">
        <f>F84</f>
        <v>4019498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</row>
    <row r="84" spans="1:6" ht="16.5">
      <c r="A84" s="46" t="s">
        <v>189</v>
      </c>
      <c r="B84" s="72" t="s">
        <v>291</v>
      </c>
      <c r="C84" s="73">
        <v>800</v>
      </c>
      <c r="D84" s="77">
        <v>4019498</v>
      </c>
      <c r="E84" s="77">
        <v>0</v>
      </c>
      <c r="F84" s="77">
        <v>4019498</v>
      </c>
    </row>
    <row r="85" spans="1:6" ht="22.5" customHeight="1">
      <c r="A85" s="70" t="s">
        <v>222</v>
      </c>
      <c r="B85" s="71" t="s">
        <v>291</v>
      </c>
      <c r="C85" s="71"/>
      <c r="D85" s="64">
        <f>SUM(D86)</f>
        <v>14249739.77</v>
      </c>
      <c r="E85" s="64">
        <f>SUM(E86)</f>
        <v>16766929.46</v>
      </c>
      <c r="F85" s="64">
        <f>SUM(F86)</f>
        <v>13638912.82</v>
      </c>
    </row>
    <row r="86" spans="1:6" ht="20.25" customHeight="1">
      <c r="A86" s="46" t="s">
        <v>189</v>
      </c>
      <c r="B86" s="72" t="s">
        <v>291</v>
      </c>
      <c r="C86" s="72" t="s">
        <v>223</v>
      </c>
      <c r="D86" s="77">
        <f>55177938.33-19165083.36-13390250-3133100-11500000+6260234.8</f>
        <v>14249739.77</v>
      </c>
      <c r="E86" s="60">
        <f>4053829.46+9580000+3133100</f>
        <v>16766929.46</v>
      </c>
      <c r="F86" s="77">
        <f>4053829.46+9585083.36</f>
        <v>13638912.82</v>
      </c>
    </row>
    <row r="87" spans="1:6" ht="51">
      <c r="A87" s="66" t="s">
        <v>294</v>
      </c>
      <c r="B87" s="71" t="s">
        <v>291</v>
      </c>
      <c r="C87" s="72"/>
      <c r="D87" s="64">
        <f>D88</f>
        <v>10000000</v>
      </c>
      <c r="E87" s="64">
        <f>E88</f>
        <v>10000000</v>
      </c>
      <c r="F87" s="64">
        <f>F88</f>
        <v>10000000</v>
      </c>
    </row>
    <row r="88" spans="1:6" ht="16.5">
      <c r="A88" s="46" t="s">
        <v>189</v>
      </c>
      <c r="B88" s="72" t="s">
        <v>291</v>
      </c>
      <c r="C88" s="72" t="s">
        <v>223</v>
      </c>
      <c r="D88" s="77">
        <v>10000000</v>
      </c>
      <c r="E88" s="77">
        <v>10000000</v>
      </c>
      <c r="F88" s="77">
        <v>10000000</v>
      </c>
    </row>
    <row r="89" spans="1:256" s="39" customFormat="1" ht="16.5">
      <c r="A89" s="66" t="s">
        <v>224</v>
      </c>
      <c r="B89" s="71" t="s">
        <v>291</v>
      </c>
      <c r="C89" s="71"/>
      <c r="D89" s="64">
        <f>D90</f>
        <v>11112330</v>
      </c>
      <c r="E89" s="64">
        <f>E90</f>
        <v>8962100</v>
      </c>
      <c r="F89" s="64">
        <f>F90</f>
        <v>8962100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6" ht="16.5">
      <c r="A90" s="46" t="s">
        <v>189</v>
      </c>
      <c r="B90" s="72" t="s">
        <v>291</v>
      </c>
      <c r="C90" s="72" t="s">
        <v>223</v>
      </c>
      <c r="D90" s="77">
        <v>11112330</v>
      </c>
      <c r="E90" s="60">
        <v>8962100</v>
      </c>
      <c r="F90" s="77">
        <v>8962100</v>
      </c>
    </row>
    <row r="91" spans="1:6" ht="33.75">
      <c r="A91" s="40" t="s">
        <v>225</v>
      </c>
      <c r="B91" s="41" t="s">
        <v>226</v>
      </c>
      <c r="C91" s="42"/>
      <c r="D91" s="61">
        <f>D92+D94+D97</f>
        <v>150912428.52999997</v>
      </c>
      <c r="E91" s="61">
        <f>E92+E94+E97</f>
        <v>32605434.5</v>
      </c>
      <c r="F91" s="61">
        <f>F92+F94+F97</f>
        <v>32605434.5</v>
      </c>
    </row>
    <row r="92" spans="1:256" s="75" customFormat="1" ht="16.5">
      <c r="A92" s="66" t="s">
        <v>227</v>
      </c>
      <c r="B92" s="63" t="s">
        <v>228</v>
      </c>
      <c r="C92" s="35"/>
      <c r="D92" s="64">
        <f>D93</f>
        <v>2000000</v>
      </c>
      <c r="E92" s="64">
        <f>E93</f>
        <v>4000000</v>
      </c>
      <c r="F92" s="64">
        <f>F93</f>
        <v>4000000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s="76" customFormat="1" ht="16.5">
      <c r="A93" s="46" t="s">
        <v>189</v>
      </c>
      <c r="B93" s="47" t="s">
        <v>228</v>
      </c>
      <c r="C93" s="32">
        <v>800</v>
      </c>
      <c r="D93" s="77">
        <f>4000000-2000000</f>
        <v>2000000</v>
      </c>
      <c r="E93" s="77">
        <v>4000000</v>
      </c>
      <c r="F93" s="77">
        <v>4000000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6" ht="19.5" customHeight="1">
      <c r="A94" s="66" t="s">
        <v>229</v>
      </c>
      <c r="B94" s="63" t="s">
        <v>230</v>
      </c>
      <c r="C94" s="35"/>
      <c r="D94" s="64">
        <f>D95+D96</f>
        <v>17720000</v>
      </c>
      <c r="E94" s="64">
        <f>E95+E96</f>
        <v>13150000</v>
      </c>
      <c r="F94" s="64">
        <f>F95+F96</f>
        <v>13150000</v>
      </c>
    </row>
    <row r="95" spans="1:6" ht="32.25" customHeight="1">
      <c r="A95" s="48" t="s">
        <v>187</v>
      </c>
      <c r="B95" s="47" t="s">
        <v>230</v>
      </c>
      <c r="C95" s="32">
        <v>200</v>
      </c>
      <c r="D95" s="77">
        <f>150000-150000</f>
        <v>0</v>
      </c>
      <c r="E95" s="77">
        <v>150000</v>
      </c>
      <c r="F95" s="77">
        <v>150000</v>
      </c>
    </row>
    <row r="96" spans="1:6" ht="18.75" customHeight="1">
      <c r="A96" s="46" t="s">
        <v>189</v>
      </c>
      <c r="B96" s="47" t="s">
        <v>230</v>
      </c>
      <c r="C96" s="32">
        <v>800</v>
      </c>
      <c r="D96" s="77">
        <f>13000000+2596000+2124000</f>
        <v>17720000</v>
      </c>
      <c r="E96" s="77">
        <v>13000000</v>
      </c>
      <c r="F96" s="77">
        <v>13000000</v>
      </c>
    </row>
    <row r="97" spans="1:6" ht="17.25" customHeight="1">
      <c r="A97" s="66" t="s">
        <v>231</v>
      </c>
      <c r="B97" s="63" t="s">
        <v>232</v>
      </c>
      <c r="C97" s="35"/>
      <c r="D97" s="64">
        <f>D98</f>
        <v>131192428.52999999</v>
      </c>
      <c r="E97" s="64">
        <f>E98</f>
        <v>15455434.5</v>
      </c>
      <c r="F97" s="64">
        <f>F98</f>
        <v>15455434.5</v>
      </c>
    </row>
    <row r="98" spans="1:6" ht="33.75">
      <c r="A98" s="48" t="s">
        <v>187</v>
      </c>
      <c r="B98" s="47" t="s">
        <v>232</v>
      </c>
      <c r="C98" s="32">
        <v>200</v>
      </c>
      <c r="D98" s="77">
        <f>168911181.45-23608969.12+23608969.12-37718752.92</f>
        <v>131192428.52999999</v>
      </c>
      <c r="E98" s="77">
        <v>15455434.5</v>
      </c>
      <c r="F98" s="77">
        <v>15455434.5</v>
      </c>
    </row>
    <row r="99" spans="1:6" ht="40.5" customHeight="1">
      <c r="A99" s="40" t="s">
        <v>233</v>
      </c>
      <c r="B99" s="41" t="s">
        <v>234</v>
      </c>
      <c r="C99" s="42"/>
      <c r="D99" s="61">
        <f>D100+D103+D112+D115+D107</f>
        <v>34843602.56999999</v>
      </c>
      <c r="E99" s="61">
        <f>E100+E103+E112+E115+E107</f>
        <v>31909594.68</v>
      </c>
      <c r="F99" s="61">
        <f>F100+F103+F112+F115+F107</f>
        <v>31909594.68</v>
      </c>
    </row>
    <row r="100" spans="1:6" ht="16.5">
      <c r="A100" s="66" t="s">
        <v>184</v>
      </c>
      <c r="B100" s="63" t="s">
        <v>235</v>
      </c>
      <c r="C100" s="35"/>
      <c r="D100" s="64">
        <f>D101+D102</f>
        <v>17877488.47</v>
      </c>
      <c r="E100" s="64">
        <f>E101+E102</f>
        <v>14522840.35</v>
      </c>
      <c r="F100" s="64">
        <f>F101+F102</f>
        <v>14522840.35</v>
      </c>
    </row>
    <row r="101" spans="1:6" ht="78" customHeight="1">
      <c r="A101" s="46" t="s">
        <v>186</v>
      </c>
      <c r="B101" s="47" t="s">
        <v>235</v>
      </c>
      <c r="C101" s="32">
        <v>100</v>
      </c>
      <c r="D101" s="77">
        <f>13499397.1+1006547+897573.72+369127.35</f>
        <v>15772645.17</v>
      </c>
      <c r="E101" s="77">
        <v>13523598.93</v>
      </c>
      <c r="F101" s="77">
        <v>13523598.93</v>
      </c>
    </row>
    <row r="102" spans="1:6" ht="33.75">
      <c r="A102" s="48" t="s">
        <v>187</v>
      </c>
      <c r="B102" s="47" t="s">
        <v>235</v>
      </c>
      <c r="C102" s="32">
        <v>200</v>
      </c>
      <c r="D102" s="77">
        <f>932959.35-247977.65+1419861.6</f>
        <v>2104843.3</v>
      </c>
      <c r="E102" s="77">
        <v>999241.42</v>
      </c>
      <c r="F102" s="77">
        <v>999241.42</v>
      </c>
    </row>
    <row r="103" spans="1:6" ht="31.5" customHeight="1">
      <c r="A103" s="66" t="s">
        <v>236</v>
      </c>
      <c r="B103" s="63" t="s">
        <v>237</v>
      </c>
      <c r="C103" s="35"/>
      <c r="D103" s="64">
        <f>D105+D106+D104</f>
        <v>12965895.959999999</v>
      </c>
      <c r="E103" s="64">
        <f>E105+E106+E104</f>
        <v>13290057.32</v>
      </c>
      <c r="F103" s="64">
        <f>F105+F106+F104</f>
        <v>13290057.32</v>
      </c>
    </row>
    <row r="104" spans="1:6" ht="77.25" customHeight="1">
      <c r="A104" s="46" t="s">
        <v>186</v>
      </c>
      <c r="B104" s="47" t="s">
        <v>237</v>
      </c>
      <c r="C104" s="32">
        <v>100</v>
      </c>
      <c r="D104" s="77">
        <v>457203.75</v>
      </c>
      <c r="E104" s="77">
        <v>475491.9</v>
      </c>
      <c r="F104" s="77">
        <v>475491.9</v>
      </c>
    </row>
    <row r="105" spans="1:6" ht="33.75" customHeight="1">
      <c r="A105" s="48" t="s">
        <v>187</v>
      </c>
      <c r="B105" s="47" t="s">
        <v>237</v>
      </c>
      <c r="C105" s="32">
        <v>200</v>
      </c>
      <c r="D105" s="77">
        <v>3727843.53</v>
      </c>
      <c r="E105" s="77">
        <v>3865609.31</v>
      </c>
      <c r="F105" s="77">
        <v>3865609.31</v>
      </c>
    </row>
    <row r="106" spans="1:6" ht="16.5">
      <c r="A106" s="48" t="s">
        <v>188</v>
      </c>
      <c r="B106" s="47" t="s">
        <v>237</v>
      </c>
      <c r="C106" s="32">
        <v>300</v>
      </c>
      <c r="D106" s="77">
        <v>8780848.68</v>
      </c>
      <c r="E106" s="77">
        <v>8948956.11</v>
      </c>
      <c r="F106" s="77">
        <v>8948956.11</v>
      </c>
    </row>
    <row r="107" spans="1:256" ht="33.75">
      <c r="A107" s="66" t="s">
        <v>238</v>
      </c>
      <c r="B107" s="63" t="s">
        <v>239</v>
      </c>
      <c r="C107" s="35"/>
      <c r="D107" s="64">
        <f>SUM(D108:D111)</f>
        <v>805810.48</v>
      </c>
      <c r="E107" s="64">
        <f>SUM(E108:E111)</f>
        <v>829984.79</v>
      </c>
      <c r="F107" s="64">
        <f>SUM(F108:F111)</f>
        <v>829984.79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</row>
    <row r="108" spans="1:6" ht="33.75">
      <c r="A108" s="48" t="s">
        <v>187</v>
      </c>
      <c r="B108" s="47" t="s">
        <v>239</v>
      </c>
      <c r="C108" s="32">
        <v>200</v>
      </c>
      <c r="D108" s="77">
        <v>264211.76</v>
      </c>
      <c r="E108" s="77">
        <v>272138.11</v>
      </c>
      <c r="F108" s="77">
        <v>272138.11</v>
      </c>
    </row>
    <row r="109" spans="1:6" ht="16.5">
      <c r="A109" s="46" t="s">
        <v>188</v>
      </c>
      <c r="B109" s="47" t="s">
        <v>239</v>
      </c>
      <c r="C109" s="32">
        <v>300</v>
      </c>
      <c r="D109" s="77">
        <v>541598.72</v>
      </c>
      <c r="E109" s="335">
        <v>186531.68</v>
      </c>
      <c r="F109" s="335">
        <v>186531.68</v>
      </c>
    </row>
    <row r="110" spans="1:6" ht="33.75">
      <c r="A110" s="46" t="s">
        <v>196</v>
      </c>
      <c r="B110" s="47" t="s">
        <v>239</v>
      </c>
      <c r="C110" s="32">
        <v>600</v>
      </c>
      <c r="D110" s="77"/>
      <c r="E110" s="77">
        <v>371315</v>
      </c>
      <c r="F110" s="77">
        <v>371315</v>
      </c>
    </row>
    <row r="111" spans="1:6" ht="16.5" hidden="1">
      <c r="A111" s="46" t="s">
        <v>189</v>
      </c>
      <c r="B111" s="47" t="s">
        <v>239</v>
      </c>
      <c r="C111" s="32">
        <v>800</v>
      </c>
      <c r="D111" s="77">
        <f>350000-350000</f>
        <v>0</v>
      </c>
      <c r="E111" s="77">
        <v>0</v>
      </c>
      <c r="F111" s="77">
        <v>0</v>
      </c>
    </row>
    <row r="112" spans="1:256" s="39" customFormat="1" ht="16.5">
      <c r="A112" s="70" t="s">
        <v>240</v>
      </c>
      <c r="B112" s="63" t="s">
        <v>241</v>
      </c>
      <c r="C112" s="35"/>
      <c r="D112" s="64">
        <f>D113+D114</f>
        <v>2193113.77</v>
      </c>
      <c r="E112" s="64">
        <f>E113+E114</f>
        <v>2233711.13</v>
      </c>
      <c r="F112" s="64">
        <f>F113+F114</f>
        <v>2233711.13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6" ht="33.75">
      <c r="A113" s="48" t="s">
        <v>187</v>
      </c>
      <c r="B113" s="47" t="s">
        <v>241</v>
      </c>
      <c r="C113" s="32">
        <v>200</v>
      </c>
      <c r="D113" s="77">
        <f>1318401.77+164943</f>
        <v>1483344.77</v>
      </c>
      <c r="E113" s="77">
        <v>1358999.13</v>
      </c>
      <c r="F113" s="77">
        <v>1358999.13</v>
      </c>
    </row>
    <row r="114" spans="1:6" ht="16.5">
      <c r="A114" s="48" t="s">
        <v>188</v>
      </c>
      <c r="B114" s="47" t="s">
        <v>241</v>
      </c>
      <c r="C114" s="32">
        <v>300</v>
      </c>
      <c r="D114" s="77">
        <f>874712-164943</f>
        <v>709769</v>
      </c>
      <c r="E114" s="77">
        <v>874712</v>
      </c>
      <c r="F114" s="77">
        <v>874712</v>
      </c>
    </row>
    <row r="115" spans="1:6" ht="34.5" customHeight="1">
      <c r="A115" s="70" t="s">
        <v>242</v>
      </c>
      <c r="B115" s="71" t="s">
        <v>243</v>
      </c>
      <c r="C115" s="71"/>
      <c r="D115" s="64">
        <f>D116</f>
        <v>1001293.89</v>
      </c>
      <c r="E115" s="64">
        <f>E116</f>
        <v>1033001.09</v>
      </c>
      <c r="F115" s="64">
        <f>F116</f>
        <v>1033001.09</v>
      </c>
    </row>
    <row r="116" spans="1:6" ht="30" customHeight="1">
      <c r="A116" s="48" t="s">
        <v>187</v>
      </c>
      <c r="B116" s="72" t="s">
        <v>243</v>
      </c>
      <c r="C116" s="72" t="s">
        <v>244</v>
      </c>
      <c r="D116" s="77">
        <v>1001293.89</v>
      </c>
      <c r="E116" s="77">
        <v>1033001.09</v>
      </c>
      <c r="F116" s="77">
        <v>1033001.09</v>
      </c>
    </row>
    <row r="117" spans="1:6" ht="16.5">
      <c r="A117" s="68" t="s">
        <v>245</v>
      </c>
      <c r="B117" s="69" t="s">
        <v>246</v>
      </c>
      <c r="C117" s="69"/>
      <c r="D117" s="61">
        <f>D118+D121</f>
        <v>10367865.9</v>
      </c>
      <c r="E117" s="61">
        <f>E118+E121</f>
        <v>11561387.1</v>
      </c>
      <c r="F117" s="61">
        <f>F118+F121</f>
        <v>11369855.85</v>
      </c>
    </row>
    <row r="118" spans="1:256" s="39" customFormat="1" ht="16.5">
      <c r="A118" s="70" t="s">
        <v>247</v>
      </c>
      <c r="B118" s="71" t="s">
        <v>248</v>
      </c>
      <c r="C118" s="71"/>
      <c r="D118" s="64">
        <f>D120+D119</f>
        <v>9375382</v>
      </c>
      <c r="E118" s="64">
        <f>E120+E119</f>
        <v>8990000</v>
      </c>
      <c r="F118" s="64">
        <f>F120+F119</f>
        <v>8990000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</row>
    <row r="119" spans="1:256" s="39" customFormat="1" ht="33.75" customHeight="1">
      <c r="A119" s="48" t="s">
        <v>187</v>
      </c>
      <c r="B119" s="72" t="s">
        <v>248</v>
      </c>
      <c r="C119" s="72" t="s">
        <v>244</v>
      </c>
      <c r="D119" s="77">
        <v>194000</v>
      </c>
      <c r="E119" s="77">
        <v>194000</v>
      </c>
      <c r="F119" s="77">
        <v>194000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6" ht="16.5">
      <c r="A120" s="48" t="s">
        <v>188</v>
      </c>
      <c r="B120" s="72" t="s">
        <v>248</v>
      </c>
      <c r="C120" s="72" t="s">
        <v>249</v>
      </c>
      <c r="D120" s="77">
        <f>8593830+781552-194000</f>
        <v>9181382</v>
      </c>
      <c r="E120" s="77">
        <v>8796000</v>
      </c>
      <c r="F120" s="77">
        <v>8796000</v>
      </c>
    </row>
    <row r="121" spans="1:256" ht="16.5">
      <c r="A121" s="70" t="s">
        <v>250</v>
      </c>
      <c r="B121" s="71" t="s">
        <v>251</v>
      </c>
      <c r="C121" s="71"/>
      <c r="D121" s="64">
        <f>SUBTOTAL(9,D122:D124)</f>
        <v>992483.8999999999</v>
      </c>
      <c r="E121" s="64">
        <f>SUBTOTAL(9,E122:E124)</f>
        <v>2571387.1</v>
      </c>
      <c r="F121" s="64">
        <f>SUBTOTAL(9,F122:F124)</f>
        <v>2379855.85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256" ht="84" customHeight="1">
      <c r="A122" s="48" t="s">
        <v>186</v>
      </c>
      <c r="B122" s="72" t="s">
        <v>251</v>
      </c>
      <c r="C122" s="72" t="s">
        <v>221</v>
      </c>
      <c r="D122" s="77">
        <f>175583.9-175583.9</f>
        <v>0</v>
      </c>
      <c r="E122" s="77">
        <v>0</v>
      </c>
      <c r="F122" s="77">
        <v>0</v>
      </c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256" ht="33.75">
      <c r="A123" s="48" t="s">
        <v>187</v>
      </c>
      <c r="B123" s="72" t="s">
        <v>251</v>
      </c>
      <c r="C123" s="72" t="s">
        <v>244</v>
      </c>
      <c r="D123" s="77">
        <f>1042500+175583.9-225600</f>
        <v>992483.8999999999</v>
      </c>
      <c r="E123" s="77">
        <v>2331387.1</v>
      </c>
      <c r="F123" s="77">
        <v>2379855.85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</row>
    <row r="124" spans="1:6" ht="16.5">
      <c r="A124" s="48" t="s">
        <v>188</v>
      </c>
      <c r="B124" s="72">
        <v>1540000000</v>
      </c>
      <c r="C124" s="72" t="s">
        <v>249</v>
      </c>
      <c r="D124" s="77">
        <v>0</v>
      </c>
      <c r="E124" s="77">
        <v>240000</v>
      </c>
      <c r="F124" s="77"/>
    </row>
    <row r="125" spans="1:6" ht="33.75">
      <c r="A125" s="68" t="s">
        <v>252</v>
      </c>
      <c r="B125" s="69" t="s">
        <v>253</v>
      </c>
      <c r="C125" s="69"/>
      <c r="D125" s="61">
        <f>D126+D128</f>
        <v>60091445.559999995</v>
      </c>
      <c r="E125" s="61">
        <f>E126+E128</f>
        <v>66435155</v>
      </c>
      <c r="F125" s="61">
        <f>F126+F128</f>
        <v>66435155</v>
      </c>
    </row>
    <row r="126" spans="1:6" ht="16.5">
      <c r="A126" s="70" t="s">
        <v>254</v>
      </c>
      <c r="B126" s="71" t="s">
        <v>255</v>
      </c>
      <c r="C126" s="71"/>
      <c r="D126" s="64">
        <f>SUM(D127:D127)</f>
        <v>10018138.44</v>
      </c>
      <c r="E126" s="64">
        <f>SUM(E127:E127)</f>
        <v>9735155</v>
      </c>
      <c r="F126" s="64">
        <f>SUM(F127:F127)</f>
        <v>9735155</v>
      </c>
    </row>
    <row r="127" spans="1:6" ht="33.75">
      <c r="A127" s="48" t="s">
        <v>187</v>
      </c>
      <c r="B127" s="72" t="s">
        <v>255</v>
      </c>
      <c r="C127" s="72" t="s">
        <v>244</v>
      </c>
      <c r="D127" s="60">
        <f>11277200-2149061.56+890000</f>
        <v>10018138.44</v>
      </c>
      <c r="E127" s="60">
        <v>9735155</v>
      </c>
      <c r="F127" s="60">
        <v>9735155</v>
      </c>
    </row>
    <row r="128" spans="1:256" s="39" customFormat="1" ht="39" customHeight="1">
      <c r="A128" s="70" t="s">
        <v>256</v>
      </c>
      <c r="B128" s="71" t="s">
        <v>257</v>
      </c>
      <c r="C128" s="71"/>
      <c r="D128" s="64">
        <f>D129+D130</f>
        <v>50073307.12</v>
      </c>
      <c r="E128" s="64">
        <f>E129+E130</f>
        <v>56700000</v>
      </c>
      <c r="F128" s="64">
        <f>F129+F130</f>
        <v>56700000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</row>
    <row r="129" spans="1:6" ht="16.5">
      <c r="A129" s="48" t="s">
        <v>188</v>
      </c>
      <c r="B129" s="72" t="s">
        <v>257</v>
      </c>
      <c r="C129" s="72" t="s">
        <v>249</v>
      </c>
      <c r="D129" s="77">
        <f>39400000-5423887.84+396190.28+301004.68</f>
        <v>34673307.12</v>
      </c>
      <c r="E129" s="77">
        <v>41100000</v>
      </c>
      <c r="F129" s="77">
        <v>41100000</v>
      </c>
    </row>
    <row r="130" spans="1:6" ht="33.75">
      <c r="A130" s="48" t="s">
        <v>212</v>
      </c>
      <c r="B130" s="72" t="s">
        <v>257</v>
      </c>
      <c r="C130" s="72" t="s">
        <v>258</v>
      </c>
      <c r="D130" s="77">
        <f>15600000-200000</f>
        <v>15400000</v>
      </c>
      <c r="E130" s="77">
        <v>15600000</v>
      </c>
      <c r="F130" s="77">
        <v>15600000</v>
      </c>
    </row>
    <row r="131" spans="1:6" ht="33.75">
      <c r="A131" s="68" t="s">
        <v>259</v>
      </c>
      <c r="B131" s="69" t="s">
        <v>260</v>
      </c>
      <c r="C131" s="69"/>
      <c r="D131" s="61">
        <f>D132+D137+D141</f>
        <v>317627687.85</v>
      </c>
      <c r="E131" s="61">
        <f>E132+E137+E141</f>
        <v>49068592.46</v>
      </c>
      <c r="F131" s="61">
        <f>F132+F137+F141</f>
        <v>49068592.46</v>
      </c>
    </row>
    <row r="132" spans="1:6" ht="16.5">
      <c r="A132" s="70" t="s">
        <v>184</v>
      </c>
      <c r="B132" s="71" t="s">
        <v>261</v>
      </c>
      <c r="C132" s="71"/>
      <c r="D132" s="64">
        <f>SUM(D133:D136)</f>
        <v>34739127.62</v>
      </c>
      <c r="E132" s="64">
        <f>SUM(E133:E136)</f>
        <v>33419089.29</v>
      </c>
      <c r="F132" s="64">
        <f>SUM(F133:F136)</f>
        <v>33419089.29</v>
      </c>
    </row>
    <row r="133" spans="1:6" ht="79.5" customHeight="1">
      <c r="A133" s="48" t="s">
        <v>186</v>
      </c>
      <c r="B133" s="72" t="s">
        <v>261</v>
      </c>
      <c r="C133" s="72" t="s">
        <v>221</v>
      </c>
      <c r="D133" s="77">
        <f>34867585-4068076+1674765.79-23340.68</f>
        <v>32450934.11</v>
      </c>
      <c r="E133" s="336">
        <f>34867585-4068076</f>
        <v>30799509</v>
      </c>
      <c r="F133" s="336">
        <f>34867585-4068076</f>
        <v>30799509</v>
      </c>
    </row>
    <row r="134" spans="1:6" ht="33.75">
      <c r="A134" s="48" t="s">
        <v>187</v>
      </c>
      <c r="B134" s="72" t="s">
        <v>261</v>
      </c>
      <c r="C134" s="72" t="s">
        <v>244</v>
      </c>
      <c r="D134" s="77">
        <f>2499509.5-519090+279433.33</f>
        <v>2259852.83</v>
      </c>
      <c r="E134" s="336">
        <v>2614580.29</v>
      </c>
      <c r="F134" s="336">
        <v>2614580.29</v>
      </c>
    </row>
    <row r="135" spans="1:6" ht="16.5">
      <c r="A135" s="48" t="s">
        <v>188</v>
      </c>
      <c r="B135" s="72" t="s">
        <v>261</v>
      </c>
      <c r="C135" s="72" t="s">
        <v>249</v>
      </c>
      <c r="D135" s="77">
        <f>23340.68</f>
        <v>23340.68</v>
      </c>
      <c r="E135" s="336">
        <v>0</v>
      </c>
      <c r="F135" s="336">
        <v>0</v>
      </c>
    </row>
    <row r="136" spans="1:6" ht="16.5">
      <c r="A136" s="48" t="s">
        <v>189</v>
      </c>
      <c r="B136" s="72" t="s">
        <v>261</v>
      </c>
      <c r="C136" s="72" t="s">
        <v>223</v>
      </c>
      <c r="D136" s="77">
        <v>5000</v>
      </c>
      <c r="E136" s="336">
        <v>5000</v>
      </c>
      <c r="F136" s="336">
        <v>5000</v>
      </c>
    </row>
    <row r="137" spans="1:6" ht="16.5">
      <c r="A137" s="65" t="s">
        <v>262</v>
      </c>
      <c r="B137" s="71" t="s">
        <v>263</v>
      </c>
      <c r="C137" s="71"/>
      <c r="D137" s="64">
        <f>SUM(D138:D140)</f>
        <v>273834621.23</v>
      </c>
      <c r="E137" s="64">
        <f>SUM(E138:E140)</f>
        <v>12005877.25</v>
      </c>
      <c r="F137" s="64">
        <f>SUM(F138:F140)</f>
        <v>12005877.25</v>
      </c>
    </row>
    <row r="138" spans="1:6" ht="33.75">
      <c r="A138" s="48" t="s">
        <v>187</v>
      </c>
      <c r="B138" s="72" t="s">
        <v>263</v>
      </c>
      <c r="C138" s="72" t="s">
        <v>244</v>
      </c>
      <c r="D138" s="77">
        <f>15658234.3+475647.59+1137067.2-3050171.99+1574578.8-279433.33</f>
        <v>15515922.57</v>
      </c>
      <c r="E138" s="60">
        <v>11995877.25</v>
      </c>
      <c r="F138" s="60">
        <v>11995877.25</v>
      </c>
    </row>
    <row r="139" spans="1:6" ht="33.75">
      <c r="A139" s="48" t="s">
        <v>264</v>
      </c>
      <c r="B139" s="72" t="s">
        <v>263</v>
      </c>
      <c r="C139" s="72" t="s">
        <v>258</v>
      </c>
      <c r="D139" s="77">
        <f>218357573.58+127902277.06+4561714.79+2500000-60000000+2839134.82-30105767.39-13072917.63-5098035.97+439719.4+5985000</f>
        <v>254308698.66000003</v>
      </c>
      <c r="E139" s="337">
        <v>0</v>
      </c>
      <c r="F139" s="337">
        <v>0</v>
      </c>
    </row>
    <row r="140" spans="1:6" ht="16.5">
      <c r="A140" s="48" t="s">
        <v>189</v>
      </c>
      <c r="B140" s="72" t="s">
        <v>263</v>
      </c>
      <c r="C140" s="72" t="s">
        <v>223</v>
      </c>
      <c r="D140" s="77">
        <f>10000+4000000+5985000-5985000</f>
        <v>4010000</v>
      </c>
      <c r="E140" s="336">
        <v>10000</v>
      </c>
      <c r="F140" s="336">
        <v>10000</v>
      </c>
    </row>
    <row r="141" spans="1:6" ht="36" customHeight="1">
      <c r="A141" s="70" t="s">
        <v>265</v>
      </c>
      <c r="B141" s="71" t="s">
        <v>266</v>
      </c>
      <c r="C141" s="71"/>
      <c r="D141" s="64">
        <f>D142+D143+D144</f>
        <v>9053939</v>
      </c>
      <c r="E141" s="64">
        <f>E142+E143+E144</f>
        <v>3643625.92</v>
      </c>
      <c r="F141" s="64">
        <f>F142+F143+F144</f>
        <v>3643625.92</v>
      </c>
    </row>
    <row r="142" spans="1:6" ht="33.75">
      <c r="A142" s="48" t="s">
        <v>187</v>
      </c>
      <c r="B142" s="72" t="s">
        <v>266</v>
      </c>
      <c r="C142" s="72" t="s">
        <v>244</v>
      </c>
      <c r="D142" s="77">
        <f>3447139+4998000+608800</f>
        <v>9053939</v>
      </c>
      <c r="E142" s="336">
        <v>3643625.92</v>
      </c>
      <c r="F142" s="336">
        <v>3643625.92</v>
      </c>
    </row>
    <row r="143" spans="1:6" ht="33.75" hidden="1">
      <c r="A143" s="48" t="s">
        <v>264</v>
      </c>
      <c r="B143" s="72" t="s">
        <v>266</v>
      </c>
      <c r="C143" s="72" t="s">
        <v>258</v>
      </c>
      <c r="D143" s="77">
        <f>5985000-5985000</f>
        <v>0</v>
      </c>
      <c r="E143" s="77">
        <v>0</v>
      </c>
      <c r="F143" s="77">
        <v>0</v>
      </c>
    </row>
    <row r="144" spans="1:6" ht="16.5" hidden="1">
      <c r="A144" s="48" t="s">
        <v>189</v>
      </c>
      <c r="B144" s="72" t="s">
        <v>266</v>
      </c>
      <c r="C144" s="72" t="s">
        <v>223</v>
      </c>
      <c r="D144" s="77"/>
      <c r="E144" s="77"/>
      <c r="F144" s="77"/>
    </row>
    <row r="145" spans="1:6" ht="16.5">
      <c r="A145" s="68" t="s">
        <v>267</v>
      </c>
      <c r="B145" s="69" t="s">
        <v>268</v>
      </c>
      <c r="C145" s="69"/>
      <c r="D145" s="61">
        <f>D146+D151+D154</f>
        <v>143982556.88</v>
      </c>
      <c r="E145" s="61">
        <f>E146+E151+E154</f>
        <v>138072363.33999997</v>
      </c>
      <c r="F145" s="61">
        <f>F146+F151+F154</f>
        <v>139031568.62</v>
      </c>
    </row>
    <row r="146" spans="1:256" s="75" customFormat="1" ht="16.5">
      <c r="A146" s="70" t="s">
        <v>184</v>
      </c>
      <c r="B146" s="71" t="s">
        <v>269</v>
      </c>
      <c r="C146" s="71"/>
      <c r="D146" s="64">
        <f>SUBTOTAL(9,D147:D150)</f>
        <v>127982556.88</v>
      </c>
      <c r="E146" s="64">
        <f>SUBTOTAL(9,E147:E150)</f>
        <v>122072363.33999999</v>
      </c>
      <c r="F146" s="64">
        <f>SUBTOTAL(9,F147:F150)</f>
        <v>123031568.61999999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</row>
    <row r="147" spans="1:256" s="75" customFormat="1" ht="78.75" customHeight="1">
      <c r="A147" s="48" t="s">
        <v>186</v>
      </c>
      <c r="B147" s="72" t="s">
        <v>269</v>
      </c>
      <c r="C147" s="72" t="s">
        <v>221</v>
      </c>
      <c r="D147" s="77">
        <f>93985125.77+2185911.76+45379+1387500+51127+677239</f>
        <v>98332282.53</v>
      </c>
      <c r="E147" s="77">
        <v>93985125.77</v>
      </c>
      <c r="F147" s="77">
        <v>93985125.77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75" customFormat="1" ht="36.75" customHeight="1">
      <c r="A148" s="48" t="s">
        <v>187</v>
      </c>
      <c r="B148" s="72" t="s">
        <v>269</v>
      </c>
      <c r="C148" s="72" t="s">
        <v>244</v>
      </c>
      <c r="D148" s="77">
        <f>24367352.68-306425+3879869.56-1387500</f>
        <v>26553297.24</v>
      </c>
      <c r="E148" s="77">
        <v>24990260.46</v>
      </c>
      <c r="F148" s="77">
        <v>25949465.74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75" customFormat="1" ht="36.75" customHeight="1" hidden="1">
      <c r="A149" s="48" t="s">
        <v>188</v>
      </c>
      <c r="B149" s="72" t="s">
        <v>269</v>
      </c>
      <c r="C149" s="72" t="s">
        <v>249</v>
      </c>
      <c r="D149" s="77"/>
      <c r="E149" s="77"/>
      <c r="F149" s="7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76" customFormat="1" ht="16.5">
      <c r="A150" s="48" t="s">
        <v>189</v>
      </c>
      <c r="B150" s="72" t="s">
        <v>269</v>
      </c>
      <c r="C150" s="72" t="s">
        <v>223</v>
      </c>
      <c r="D150" s="77">
        <v>3096977.11</v>
      </c>
      <c r="E150" s="77">
        <v>3096977.11</v>
      </c>
      <c r="F150" s="77">
        <v>3096977.11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75" customFormat="1" ht="16.5">
      <c r="A151" s="70" t="s">
        <v>270</v>
      </c>
      <c r="B151" s="71" t="s">
        <v>271</v>
      </c>
      <c r="C151" s="71"/>
      <c r="D151" s="64">
        <f>D153+D152</f>
        <v>8500000</v>
      </c>
      <c r="E151" s="64">
        <f>E153+E152</f>
        <v>8000000</v>
      </c>
      <c r="F151" s="64">
        <f>F153+F152</f>
        <v>8000000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  <c r="IV151" s="37"/>
    </row>
    <row r="152" spans="1:256" s="75" customFormat="1" ht="61.5" customHeight="1">
      <c r="A152" s="48" t="s">
        <v>186</v>
      </c>
      <c r="B152" s="72" t="s">
        <v>271</v>
      </c>
      <c r="C152" s="72" t="s">
        <v>221</v>
      </c>
      <c r="D152" s="77">
        <f>2120000-1200000</f>
        <v>920000</v>
      </c>
      <c r="E152" s="77">
        <v>2120000</v>
      </c>
      <c r="F152" s="77">
        <v>2120000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  <c r="IV152" s="37"/>
    </row>
    <row r="153" spans="1:256" s="76" customFormat="1" ht="33.75" customHeight="1">
      <c r="A153" s="48" t="s">
        <v>187</v>
      </c>
      <c r="B153" s="72" t="s">
        <v>271</v>
      </c>
      <c r="C153" s="72" t="s">
        <v>244</v>
      </c>
      <c r="D153" s="77">
        <f>5880000+1700000</f>
        <v>7580000</v>
      </c>
      <c r="E153" s="77">
        <v>5880000</v>
      </c>
      <c r="F153" s="77">
        <v>5880000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6" ht="16.5">
      <c r="A154" s="70" t="s">
        <v>272</v>
      </c>
      <c r="B154" s="71" t="s">
        <v>273</v>
      </c>
      <c r="C154" s="71"/>
      <c r="D154" s="64">
        <f>D156+D155</f>
        <v>7500000</v>
      </c>
      <c r="E154" s="64">
        <f>E156+E155</f>
        <v>8000000</v>
      </c>
      <c r="F154" s="64">
        <f>F156+F155</f>
        <v>8000000</v>
      </c>
    </row>
    <row r="155" spans="1:6" ht="78" customHeight="1">
      <c r="A155" s="48" t="s">
        <v>186</v>
      </c>
      <c r="B155" s="78" t="s">
        <v>273</v>
      </c>
      <c r="C155" s="72" t="s">
        <v>221</v>
      </c>
      <c r="D155" s="77">
        <f>2240000-1300000</f>
        <v>940000</v>
      </c>
      <c r="E155" s="77">
        <v>2240000</v>
      </c>
      <c r="F155" s="77">
        <v>2240000</v>
      </c>
    </row>
    <row r="156" spans="1:6" ht="30.75" customHeight="1">
      <c r="A156" s="48" t="s">
        <v>187</v>
      </c>
      <c r="B156" s="72" t="s">
        <v>273</v>
      </c>
      <c r="C156" s="72" t="s">
        <v>244</v>
      </c>
      <c r="D156" s="77">
        <f>5760000+800000</f>
        <v>6560000</v>
      </c>
      <c r="E156" s="77">
        <v>5760000</v>
      </c>
      <c r="F156" s="77">
        <v>5760000</v>
      </c>
    </row>
    <row r="157" spans="1:6" ht="16.5">
      <c r="A157" s="68" t="s">
        <v>274</v>
      </c>
      <c r="B157" s="69" t="s">
        <v>275</v>
      </c>
      <c r="C157" s="69"/>
      <c r="D157" s="61">
        <f>D158</f>
        <v>2995900</v>
      </c>
      <c r="E157" s="61">
        <f>E158</f>
        <v>2995900</v>
      </c>
      <c r="F157" s="61">
        <f>F158</f>
        <v>2995900</v>
      </c>
    </row>
    <row r="158" spans="1:256" s="75" customFormat="1" ht="33.75">
      <c r="A158" s="79" t="s">
        <v>276</v>
      </c>
      <c r="B158" s="71" t="s">
        <v>277</v>
      </c>
      <c r="C158" s="71"/>
      <c r="D158" s="64">
        <f>D159+D160+D161</f>
        <v>2995900</v>
      </c>
      <c r="E158" s="64">
        <f>E159+E160+E161</f>
        <v>2995900</v>
      </c>
      <c r="F158" s="64">
        <f>F159+F160+F161</f>
        <v>2995900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  <c r="IV158" s="37"/>
    </row>
    <row r="159" spans="1:256" s="76" customFormat="1" ht="83.25" customHeight="1">
      <c r="A159" s="48" t="s">
        <v>186</v>
      </c>
      <c r="B159" s="71" t="s">
        <v>277</v>
      </c>
      <c r="C159" s="72" t="s">
        <v>221</v>
      </c>
      <c r="D159" s="77">
        <f>127200+145380</f>
        <v>272580</v>
      </c>
      <c r="E159" s="77">
        <v>127200</v>
      </c>
      <c r="F159" s="77">
        <v>127200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6" ht="33.75">
      <c r="A160" s="48" t="s">
        <v>187</v>
      </c>
      <c r="B160" s="71" t="s">
        <v>277</v>
      </c>
      <c r="C160" s="72" t="s">
        <v>244</v>
      </c>
      <c r="D160" s="77">
        <f>1004200+265398.02</f>
        <v>1269598.02</v>
      </c>
      <c r="E160" s="77">
        <v>1004200</v>
      </c>
      <c r="F160" s="77">
        <v>1004200</v>
      </c>
    </row>
    <row r="161" spans="1:6" ht="16.5">
      <c r="A161" s="48" t="s">
        <v>188</v>
      </c>
      <c r="B161" s="71" t="s">
        <v>277</v>
      </c>
      <c r="C161" s="72" t="s">
        <v>249</v>
      </c>
      <c r="D161" s="77">
        <f>1864500-145380-265398.02</f>
        <v>1453721.98</v>
      </c>
      <c r="E161" s="77">
        <v>1864500</v>
      </c>
      <c r="F161" s="77">
        <v>1864500</v>
      </c>
    </row>
    <row r="162" spans="1:256" s="39" customFormat="1" ht="33.75">
      <c r="A162" s="40" t="s">
        <v>278</v>
      </c>
      <c r="B162" s="80">
        <v>3200000000</v>
      </c>
      <c r="C162" s="81"/>
      <c r="D162" s="61">
        <f>D163</f>
        <v>6000000</v>
      </c>
      <c r="E162" s="61">
        <f>E163</f>
        <v>6000000</v>
      </c>
      <c r="F162" s="61">
        <f>F163</f>
        <v>6000000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  <c r="IV162" s="37"/>
    </row>
    <row r="163" spans="1:256" s="39" customFormat="1" ht="16.5">
      <c r="A163" s="66" t="s">
        <v>279</v>
      </c>
      <c r="B163" s="74">
        <v>3210000000</v>
      </c>
      <c r="C163" s="82"/>
      <c r="D163" s="64">
        <f>D164+D165</f>
        <v>6000000</v>
      </c>
      <c r="E163" s="64">
        <f>E164+E165</f>
        <v>6000000</v>
      </c>
      <c r="F163" s="64">
        <f>F164+F165</f>
        <v>6000000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  <c r="IV163" s="37"/>
    </row>
    <row r="164" spans="1:256" s="39" customFormat="1" ht="33.75">
      <c r="A164" s="46" t="s">
        <v>187</v>
      </c>
      <c r="B164" s="73">
        <v>3210000000</v>
      </c>
      <c r="C164" s="73">
        <v>200</v>
      </c>
      <c r="D164" s="77">
        <v>300000</v>
      </c>
      <c r="E164" s="77">
        <v>300000</v>
      </c>
      <c r="F164" s="77">
        <v>300000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</row>
    <row r="165" spans="1:6" ht="33.75">
      <c r="A165" s="48" t="s">
        <v>196</v>
      </c>
      <c r="B165" s="73">
        <v>3210000000</v>
      </c>
      <c r="C165" s="73">
        <v>600</v>
      </c>
      <c r="D165" s="77">
        <v>5700000</v>
      </c>
      <c r="E165" s="77">
        <v>5700000</v>
      </c>
      <c r="F165" s="77">
        <v>5700000</v>
      </c>
    </row>
    <row r="166" spans="1:256" ht="33.75">
      <c r="A166" s="40" t="s">
        <v>280</v>
      </c>
      <c r="B166" s="80">
        <v>2900000000</v>
      </c>
      <c r="C166" s="80"/>
      <c r="D166" s="61">
        <f>D167+D169</f>
        <v>2089351.33</v>
      </c>
      <c r="E166" s="61">
        <f>E167+E169</f>
        <v>1440423.53</v>
      </c>
      <c r="F166" s="61">
        <f>F167+F169</f>
        <v>1440423.53</v>
      </c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83"/>
      <c r="GD166" s="83"/>
      <c r="GE166" s="83"/>
      <c r="GF166" s="83"/>
      <c r="GM166" s="83"/>
      <c r="GN166" s="83"/>
      <c r="GO166" s="83"/>
      <c r="GP166" s="83"/>
      <c r="GQ166" s="83"/>
      <c r="GR166" s="83"/>
      <c r="GS166" s="83"/>
      <c r="GT166" s="83"/>
      <c r="GU166" s="83"/>
      <c r="GV166" s="83"/>
      <c r="GW166" s="83"/>
      <c r="GX166" s="83"/>
      <c r="GY166" s="83"/>
      <c r="GZ166" s="83"/>
      <c r="HA166" s="83"/>
      <c r="HB166" s="83"/>
      <c r="HC166" s="83"/>
      <c r="HD166" s="83"/>
      <c r="HE166" s="83"/>
      <c r="HF166" s="83"/>
      <c r="HG166" s="83"/>
      <c r="HH166" s="83"/>
      <c r="HI166" s="83"/>
      <c r="HJ166" s="83"/>
      <c r="HK166" s="83"/>
      <c r="HL166" s="83"/>
      <c r="HM166" s="83"/>
      <c r="HN166" s="83"/>
      <c r="HO166" s="83"/>
      <c r="HP166" s="83"/>
      <c r="HQ166" s="83"/>
      <c r="HR166" s="83"/>
      <c r="HS166" s="83"/>
      <c r="HT166" s="83"/>
      <c r="HU166" s="83"/>
      <c r="HV166" s="83"/>
      <c r="HW166" s="83"/>
      <c r="HX166" s="83"/>
      <c r="HY166" s="83"/>
      <c r="HZ166" s="83"/>
      <c r="IA166" s="83"/>
      <c r="IB166" s="83"/>
      <c r="IC166" s="83"/>
      <c r="ID166" s="83"/>
      <c r="IE166" s="83"/>
      <c r="IF166" s="83"/>
      <c r="IG166" s="83"/>
      <c r="IH166" s="83"/>
      <c r="II166" s="83"/>
      <c r="IJ166" s="83"/>
      <c r="IK166" s="83"/>
      <c r="IL166" s="83"/>
      <c r="IM166" s="83"/>
      <c r="IN166" s="83"/>
      <c r="IO166" s="83"/>
      <c r="IP166" s="83"/>
      <c r="IQ166" s="83"/>
      <c r="IR166" s="83"/>
      <c r="IS166" s="83"/>
      <c r="IT166" s="83"/>
      <c r="IU166" s="83"/>
      <c r="IV166" s="83"/>
    </row>
    <row r="167" spans="1:256" ht="33.75">
      <c r="A167" s="66" t="s">
        <v>281</v>
      </c>
      <c r="B167" s="74">
        <v>2930000000</v>
      </c>
      <c r="C167" s="74"/>
      <c r="D167" s="64">
        <f>D168</f>
        <v>1820351.33</v>
      </c>
      <c r="E167" s="64">
        <f>E168</f>
        <v>1162190.53</v>
      </c>
      <c r="F167" s="64">
        <f>F168</f>
        <v>1162190.53</v>
      </c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83"/>
      <c r="GD167" s="83"/>
      <c r="GE167" s="83"/>
      <c r="GF167" s="83"/>
      <c r="GM167" s="83"/>
      <c r="GN167" s="83"/>
      <c r="GO167" s="83"/>
      <c r="GP167" s="83"/>
      <c r="GQ167" s="83"/>
      <c r="GR167" s="83"/>
      <c r="GS167" s="83"/>
      <c r="GT167" s="83"/>
      <c r="GU167" s="83"/>
      <c r="GV167" s="83"/>
      <c r="GW167" s="83"/>
      <c r="GX167" s="83"/>
      <c r="GY167" s="83"/>
      <c r="GZ167" s="83"/>
      <c r="HA167" s="83"/>
      <c r="HB167" s="83"/>
      <c r="HC167" s="83"/>
      <c r="HD167" s="83"/>
      <c r="HE167" s="83"/>
      <c r="HF167" s="83"/>
      <c r="HG167" s="83"/>
      <c r="HH167" s="83"/>
      <c r="HI167" s="83"/>
      <c r="HJ167" s="83"/>
      <c r="HK167" s="83"/>
      <c r="HL167" s="83"/>
      <c r="HM167" s="83"/>
      <c r="HN167" s="83"/>
      <c r="HO167" s="83"/>
      <c r="HP167" s="83"/>
      <c r="HQ167" s="83"/>
      <c r="HR167" s="83"/>
      <c r="HS167" s="83"/>
      <c r="HT167" s="83"/>
      <c r="HU167" s="83"/>
      <c r="HV167" s="83"/>
      <c r="HW167" s="83"/>
      <c r="HX167" s="83"/>
      <c r="HY167" s="83"/>
      <c r="HZ167" s="83"/>
      <c r="IA167" s="83"/>
      <c r="IB167" s="83"/>
      <c r="IC167" s="83"/>
      <c r="ID167" s="83"/>
      <c r="IE167" s="83"/>
      <c r="IF167" s="83"/>
      <c r="IG167" s="83"/>
      <c r="IH167" s="83"/>
      <c r="II167" s="83"/>
      <c r="IJ167" s="83"/>
      <c r="IK167" s="83"/>
      <c r="IL167" s="83"/>
      <c r="IM167" s="83"/>
      <c r="IN167" s="83"/>
      <c r="IO167" s="83"/>
      <c r="IP167" s="83"/>
      <c r="IQ167" s="83"/>
      <c r="IR167" s="83"/>
      <c r="IS167" s="83"/>
      <c r="IT167" s="83"/>
      <c r="IU167" s="83"/>
      <c r="IV167" s="83"/>
    </row>
    <row r="168" spans="1:256" ht="33.75">
      <c r="A168" s="46" t="s">
        <v>187</v>
      </c>
      <c r="B168" s="73">
        <v>2930000000</v>
      </c>
      <c r="C168" s="73">
        <v>200</v>
      </c>
      <c r="D168" s="77">
        <v>1820351.33</v>
      </c>
      <c r="E168" s="77">
        <v>1162190.53</v>
      </c>
      <c r="F168" s="77">
        <v>1162190.53</v>
      </c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83"/>
      <c r="GD168" s="83"/>
      <c r="GE168" s="83"/>
      <c r="GF168" s="83"/>
      <c r="GM168" s="83"/>
      <c r="GN168" s="83"/>
      <c r="GO168" s="83"/>
      <c r="GP168" s="83"/>
      <c r="GQ168" s="83"/>
      <c r="GR168" s="83"/>
      <c r="GS168" s="83"/>
      <c r="GT168" s="83"/>
      <c r="GU168" s="83"/>
      <c r="GV168" s="83"/>
      <c r="GW168" s="83"/>
      <c r="GX168" s="83"/>
      <c r="GY168" s="83"/>
      <c r="GZ168" s="83"/>
      <c r="HA168" s="83"/>
      <c r="HB168" s="83"/>
      <c r="HC168" s="83"/>
      <c r="HD168" s="83"/>
      <c r="HE168" s="83"/>
      <c r="HF168" s="83"/>
      <c r="HG168" s="83"/>
      <c r="HH168" s="83"/>
      <c r="HI168" s="83"/>
      <c r="HJ168" s="83"/>
      <c r="HK168" s="83"/>
      <c r="HL168" s="83"/>
      <c r="HM168" s="83"/>
      <c r="HN168" s="83"/>
      <c r="HO168" s="83"/>
      <c r="HP168" s="83"/>
      <c r="HQ168" s="83"/>
      <c r="HR168" s="83"/>
      <c r="HS168" s="83"/>
      <c r="HT168" s="83"/>
      <c r="HU168" s="83"/>
      <c r="HV168" s="83"/>
      <c r="HW168" s="83"/>
      <c r="HX168" s="83"/>
      <c r="HY168" s="83"/>
      <c r="HZ168" s="83"/>
      <c r="IA168" s="83"/>
      <c r="IB168" s="83"/>
      <c r="IC168" s="83"/>
      <c r="ID168" s="83"/>
      <c r="IE168" s="83"/>
      <c r="IF168" s="83"/>
      <c r="IG168" s="83"/>
      <c r="IH168" s="83"/>
      <c r="II168" s="83"/>
      <c r="IJ168" s="83"/>
      <c r="IK168" s="83"/>
      <c r="IL168" s="83"/>
      <c r="IM168" s="83"/>
      <c r="IN168" s="83"/>
      <c r="IO168" s="83"/>
      <c r="IP168" s="83"/>
      <c r="IQ168" s="83"/>
      <c r="IR168" s="83"/>
      <c r="IS168" s="83"/>
      <c r="IT168" s="83"/>
      <c r="IU168" s="83"/>
      <c r="IV168" s="83"/>
    </row>
    <row r="169" spans="1:256" ht="49.5" customHeight="1">
      <c r="A169" s="66" t="s">
        <v>282</v>
      </c>
      <c r="B169" s="74">
        <v>2970000000</v>
      </c>
      <c r="C169" s="74"/>
      <c r="D169" s="64">
        <f>D170</f>
        <v>269000</v>
      </c>
      <c r="E169" s="64">
        <f>E170</f>
        <v>278233</v>
      </c>
      <c r="F169" s="64">
        <f>F170</f>
        <v>278233</v>
      </c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83"/>
      <c r="GD169" s="83"/>
      <c r="GE169" s="83"/>
      <c r="GF169" s="83"/>
      <c r="GM169" s="83"/>
      <c r="GN169" s="83"/>
      <c r="GO169" s="83"/>
      <c r="GP169" s="83"/>
      <c r="GQ169" s="83"/>
      <c r="GR169" s="83"/>
      <c r="GS169" s="83"/>
      <c r="GT169" s="83"/>
      <c r="GU169" s="83"/>
      <c r="GV169" s="83"/>
      <c r="GW169" s="83"/>
      <c r="GX169" s="83"/>
      <c r="GY169" s="83"/>
      <c r="GZ169" s="83"/>
      <c r="HA169" s="83"/>
      <c r="HB169" s="83"/>
      <c r="HC169" s="83"/>
      <c r="HD169" s="83"/>
      <c r="HE169" s="83"/>
      <c r="HF169" s="83"/>
      <c r="HG169" s="83"/>
      <c r="HH169" s="83"/>
      <c r="HI169" s="83"/>
      <c r="HJ169" s="83"/>
      <c r="HK169" s="83"/>
      <c r="HL169" s="83"/>
      <c r="HM169" s="83"/>
      <c r="HN169" s="83"/>
      <c r="HO169" s="83"/>
      <c r="HP169" s="83"/>
      <c r="HQ169" s="83"/>
      <c r="HR169" s="83"/>
      <c r="HS169" s="83"/>
      <c r="HT169" s="83"/>
      <c r="HU169" s="83"/>
      <c r="HV169" s="83"/>
      <c r="HW169" s="83"/>
      <c r="HX169" s="83"/>
      <c r="HY169" s="83"/>
      <c r="HZ169" s="83"/>
      <c r="IA169" s="83"/>
      <c r="IB169" s="83"/>
      <c r="IC169" s="83"/>
      <c r="ID169" s="83"/>
      <c r="IE169" s="83"/>
      <c r="IF169" s="83"/>
      <c r="IG169" s="83"/>
      <c r="IH169" s="83"/>
      <c r="II169" s="83"/>
      <c r="IJ169" s="83"/>
      <c r="IK169" s="83"/>
      <c r="IL169" s="83"/>
      <c r="IM169" s="83"/>
      <c r="IN169" s="83"/>
      <c r="IO169" s="83"/>
      <c r="IP169" s="83"/>
      <c r="IQ169" s="83"/>
      <c r="IR169" s="83"/>
      <c r="IS169" s="83"/>
      <c r="IT169" s="83"/>
      <c r="IU169" s="83"/>
      <c r="IV169" s="83"/>
    </row>
    <row r="170" spans="1:256" ht="33.75">
      <c r="A170" s="48" t="s">
        <v>187</v>
      </c>
      <c r="B170" s="73">
        <v>2970000000</v>
      </c>
      <c r="C170" s="73">
        <v>200</v>
      </c>
      <c r="D170" s="77">
        <v>269000</v>
      </c>
      <c r="E170" s="77">
        <v>278233</v>
      </c>
      <c r="F170" s="77">
        <v>278233</v>
      </c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  <c r="IU170" s="85"/>
      <c r="IV170" s="85"/>
    </row>
    <row r="171" spans="1:256" ht="16.5">
      <c r="A171" s="68" t="s">
        <v>283</v>
      </c>
      <c r="B171" s="80">
        <v>1300000000</v>
      </c>
      <c r="C171" s="80"/>
      <c r="D171" s="61">
        <f aca="true" t="shared" si="0" ref="D171:F172">D172</f>
        <v>35987448.38</v>
      </c>
      <c r="E171" s="61">
        <f t="shared" si="0"/>
        <v>0</v>
      </c>
      <c r="F171" s="61">
        <f t="shared" si="0"/>
        <v>0</v>
      </c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83"/>
      <c r="GD171" s="83"/>
      <c r="GE171" s="83"/>
      <c r="GF171" s="83"/>
      <c r="GM171" s="83"/>
      <c r="GN171" s="83"/>
      <c r="GO171" s="83"/>
      <c r="GP171" s="83"/>
      <c r="GQ171" s="83"/>
      <c r="GR171" s="83"/>
      <c r="GS171" s="83"/>
      <c r="GT171" s="83"/>
      <c r="GU171" s="83"/>
      <c r="GV171" s="83"/>
      <c r="GW171" s="83"/>
      <c r="GX171" s="83"/>
      <c r="GY171" s="83"/>
      <c r="GZ171" s="83"/>
      <c r="HA171" s="83"/>
      <c r="HB171" s="83"/>
      <c r="HC171" s="83"/>
      <c r="HD171" s="83"/>
      <c r="HE171" s="83"/>
      <c r="HF171" s="83"/>
      <c r="HG171" s="83"/>
      <c r="HH171" s="83"/>
      <c r="HI171" s="83"/>
      <c r="HJ171" s="83"/>
      <c r="HK171" s="83"/>
      <c r="HL171" s="83"/>
      <c r="HM171" s="83"/>
      <c r="HN171" s="83"/>
      <c r="HO171" s="83"/>
      <c r="HP171" s="83"/>
      <c r="HQ171" s="83"/>
      <c r="HR171" s="83"/>
      <c r="HS171" s="83"/>
      <c r="HT171" s="83"/>
      <c r="HU171" s="83"/>
      <c r="HV171" s="83"/>
      <c r="HW171" s="83"/>
      <c r="HX171" s="83"/>
      <c r="HY171" s="83"/>
      <c r="HZ171" s="83"/>
      <c r="IA171" s="83"/>
      <c r="IB171" s="83"/>
      <c r="IC171" s="83"/>
      <c r="ID171" s="83"/>
      <c r="IE171" s="83"/>
      <c r="IF171" s="83"/>
      <c r="IG171" s="83"/>
      <c r="IH171" s="83"/>
      <c r="II171" s="83"/>
      <c r="IJ171" s="83"/>
      <c r="IK171" s="83"/>
      <c r="IL171" s="83"/>
      <c r="IM171" s="83"/>
      <c r="IN171" s="83"/>
      <c r="IO171" s="83"/>
      <c r="IP171" s="83"/>
      <c r="IQ171" s="83"/>
      <c r="IR171" s="83"/>
      <c r="IS171" s="83"/>
      <c r="IT171" s="83"/>
      <c r="IU171" s="83"/>
      <c r="IV171" s="83"/>
    </row>
    <row r="172" spans="1:256" ht="51">
      <c r="A172" s="87" t="s">
        <v>284</v>
      </c>
      <c r="B172" s="74">
        <v>1320000000</v>
      </c>
      <c r="C172" s="74"/>
      <c r="D172" s="64">
        <f>D173</f>
        <v>35987448.38</v>
      </c>
      <c r="E172" s="64">
        <f t="shared" si="0"/>
        <v>0</v>
      </c>
      <c r="F172" s="64">
        <f t="shared" si="0"/>
        <v>0</v>
      </c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83"/>
      <c r="GD172" s="83"/>
      <c r="GE172" s="83"/>
      <c r="GF172" s="83"/>
      <c r="GM172" s="83"/>
      <c r="GN172" s="83"/>
      <c r="GO172" s="83"/>
      <c r="GP172" s="83"/>
      <c r="GQ172" s="83"/>
      <c r="GR172" s="83"/>
      <c r="GS172" s="83"/>
      <c r="GT172" s="83"/>
      <c r="GU172" s="83"/>
      <c r="GV172" s="83"/>
      <c r="GW172" s="83"/>
      <c r="GX172" s="83"/>
      <c r="GY172" s="83"/>
      <c r="GZ172" s="83"/>
      <c r="HA172" s="83"/>
      <c r="HB172" s="83"/>
      <c r="HC172" s="83"/>
      <c r="HD172" s="83"/>
      <c r="HE172" s="83"/>
      <c r="HF172" s="83"/>
      <c r="HG172" s="83"/>
      <c r="HH172" s="83"/>
      <c r="HI172" s="83"/>
      <c r="HJ172" s="83"/>
      <c r="HK172" s="83"/>
      <c r="HL172" s="83"/>
      <c r="HM172" s="83"/>
      <c r="HN172" s="83"/>
      <c r="HO172" s="83"/>
      <c r="HP172" s="83"/>
      <c r="HQ172" s="83"/>
      <c r="HR172" s="83"/>
      <c r="HS172" s="83"/>
      <c r="HT172" s="83"/>
      <c r="HU172" s="83"/>
      <c r="HV172" s="83"/>
      <c r="HW172" s="83"/>
      <c r="HX172" s="83"/>
      <c r="HY172" s="83"/>
      <c r="HZ172" s="83"/>
      <c r="IA172" s="83"/>
      <c r="IB172" s="83"/>
      <c r="IC172" s="83"/>
      <c r="ID172" s="83"/>
      <c r="IE172" s="83"/>
      <c r="IF172" s="83"/>
      <c r="IG172" s="83"/>
      <c r="IH172" s="83"/>
      <c r="II172" s="83"/>
      <c r="IJ172" s="83"/>
      <c r="IK172" s="83"/>
      <c r="IL172" s="83"/>
      <c r="IM172" s="83"/>
      <c r="IN172" s="83"/>
      <c r="IO172" s="83"/>
      <c r="IP172" s="83"/>
      <c r="IQ172" s="83"/>
      <c r="IR172" s="83"/>
      <c r="IS172" s="83"/>
      <c r="IT172" s="83"/>
      <c r="IU172" s="83"/>
      <c r="IV172" s="83"/>
    </row>
    <row r="173" spans="1:256" ht="33.75">
      <c r="A173" s="48" t="s">
        <v>187</v>
      </c>
      <c r="B173" s="73">
        <v>1320000000</v>
      </c>
      <c r="C173" s="73">
        <v>200</v>
      </c>
      <c r="D173" s="77">
        <f>28400000+7587448.38</f>
        <v>35987448.38</v>
      </c>
      <c r="E173" s="77">
        <v>0</v>
      </c>
      <c r="F173" s="77">
        <v>0</v>
      </c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  <c r="EQ173" s="85"/>
      <c r="ER173" s="85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H173" s="85"/>
      <c r="FI173" s="85"/>
      <c r="FJ173" s="85"/>
      <c r="FK173" s="85"/>
      <c r="FL173" s="85"/>
      <c r="FM173" s="85"/>
      <c r="FN173" s="85"/>
      <c r="FO173" s="85"/>
      <c r="FP173" s="85"/>
      <c r="FQ173" s="85"/>
      <c r="FR173" s="85"/>
      <c r="FS173" s="85"/>
      <c r="FT173" s="85"/>
      <c r="FU173" s="85"/>
      <c r="FV173" s="85"/>
      <c r="FW173" s="85"/>
      <c r="FX173" s="85"/>
      <c r="FY173" s="85"/>
      <c r="FZ173" s="85"/>
      <c r="GA173" s="85"/>
      <c r="GB173" s="85"/>
      <c r="GC173" s="85"/>
      <c r="GD173" s="85"/>
      <c r="GE173" s="85"/>
      <c r="GF173" s="85"/>
      <c r="GM173" s="85"/>
      <c r="GN173" s="85"/>
      <c r="GO173" s="85"/>
      <c r="GP173" s="85"/>
      <c r="GQ173" s="85"/>
      <c r="GR173" s="85"/>
      <c r="GS173" s="85"/>
      <c r="GT173" s="85"/>
      <c r="GU173" s="85"/>
      <c r="GV173" s="85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85"/>
      <c r="IH173" s="85"/>
      <c r="II173" s="85"/>
      <c r="IJ173" s="85"/>
      <c r="IK173" s="85"/>
      <c r="IL173" s="85"/>
      <c r="IM173" s="85"/>
      <c r="IN173" s="85"/>
      <c r="IO173" s="85"/>
      <c r="IP173" s="85"/>
      <c r="IQ173" s="85"/>
      <c r="IR173" s="85"/>
      <c r="IS173" s="85"/>
      <c r="IT173" s="85"/>
      <c r="IU173" s="85"/>
      <c r="IV173" s="85"/>
    </row>
    <row r="174" spans="1:6" ht="16.5">
      <c r="A174" s="88" t="s">
        <v>285</v>
      </c>
      <c r="B174" s="89">
        <v>3400000000</v>
      </c>
      <c r="C174" s="89"/>
      <c r="D174" s="338">
        <f aca="true" t="shared" si="1" ref="D174:F175">D175</f>
        <v>1217281</v>
      </c>
      <c r="E174" s="338">
        <f t="shared" si="1"/>
        <v>0</v>
      </c>
      <c r="F174" s="338">
        <f t="shared" si="1"/>
        <v>0</v>
      </c>
    </row>
    <row r="175" spans="1:6" ht="33.75">
      <c r="A175" s="90" t="s">
        <v>286</v>
      </c>
      <c r="B175" s="89">
        <v>3440000000</v>
      </c>
      <c r="C175" s="89"/>
      <c r="D175" s="338">
        <f t="shared" si="1"/>
        <v>1217281</v>
      </c>
      <c r="E175" s="338">
        <f t="shared" si="1"/>
        <v>0</v>
      </c>
      <c r="F175" s="338">
        <f t="shared" si="1"/>
        <v>0</v>
      </c>
    </row>
    <row r="176" spans="1:6" ht="33.75">
      <c r="A176" s="48" t="s">
        <v>264</v>
      </c>
      <c r="B176" s="32">
        <v>3440000000</v>
      </c>
      <c r="C176" s="32">
        <v>400</v>
      </c>
      <c r="D176" s="77">
        <f>1052482.6+164798.4</f>
        <v>1217281</v>
      </c>
      <c r="E176" s="77">
        <v>0</v>
      </c>
      <c r="F176" s="77">
        <v>0</v>
      </c>
    </row>
    <row r="177" spans="1:3" ht="15.75">
      <c r="A177" s="91"/>
      <c r="B177" s="92"/>
      <c r="C177" s="92"/>
    </row>
    <row r="178" spans="1:3" ht="15.75">
      <c r="A178" s="91"/>
      <c r="B178" s="92"/>
      <c r="C178" s="92"/>
    </row>
    <row r="179" spans="1:3" ht="15.75">
      <c r="A179" s="91"/>
      <c r="B179" s="92"/>
      <c r="C179" s="92"/>
    </row>
    <row r="180" spans="1:3" ht="15.75">
      <c r="A180" s="91"/>
      <c r="B180" s="92"/>
      <c r="C180" s="92"/>
    </row>
    <row r="181" spans="1:3" ht="15.75">
      <c r="A181" s="91"/>
      <c r="B181" s="92"/>
      <c r="C181" s="92"/>
    </row>
    <row r="182" spans="1:3" ht="15.75">
      <c r="A182" s="91"/>
      <c r="B182" s="92"/>
      <c r="C182" s="92"/>
    </row>
  </sheetData>
  <sheetProtection/>
  <mergeCells count="5">
    <mergeCell ref="E3:F3"/>
    <mergeCell ref="E4:F4"/>
    <mergeCell ref="E5:F5"/>
    <mergeCell ref="E7:F7"/>
    <mergeCell ref="A11:F11"/>
  </mergeCells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4"/>
  <sheetViews>
    <sheetView zoomScalePageLayoutView="0" workbookViewId="0" topLeftCell="A1">
      <selection activeCell="H1" sqref="G1:H6"/>
    </sheetView>
  </sheetViews>
  <sheetFormatPr defaultColWidth="8.8515625" defaultRowHeight="15"/>
  <cols>
    <col min="1" max="1" width="56.421875" style="93" customWidth="1"/>
    <col min="2" max="2" width="5.8515625" style="94" customWidth="1"/>
    <col min="3" max="3" width="5.140625" style="94" customWidth="1"/>
    <col min="4" max="4" width="15.8515625" style="94" customWidth="1"/>
    <col min="5" max="5" width="8.421875" style="94" customWidth="1"/>
    <col min="6" max="6" width="23.421875" style="95" customWidth="1"/>
    <col min="7" max="7" width="19.421875" style="95" customWidth="1"/>
    <col min="8" max="8" width="21.8515625" style="95" customWidth="1"/>
    <col min="9" max="9" width="17.28125" style="169" customWidth="1"/>
    <col min="10" max="10" width="13.421875" style="302" customWidth="1"/>
    <col min="11" max="11" width="14.28125" style="302" customWidth="1"/>
    <col min="12" max="12" width="12.7109375" style="302" customWidth="1"/>
    <col min="13" max="13" width="13.421875" style="302" customWidth="1"/>
    <col min="14" max="14" width="12.28125" style="302" customWidth="1"/>
    <col min="15" max="16" width="15.8515625" style="302" customWidth="1"/>
    <col min="17" max="17" width="12.140625" style="302" customWidth="1"/>
    <col min="18" max="19" width="12.8515625" style="302" customWidth="1"/>
    <col min="20" max="20" width="12.421875" style="302" customWidth="1"/>
    <col min="21" max="21" width="12.421875" style="127" customWidth="1"/>
    <col min="22" max="22" width="7.421875" style="127" customWidth="1"/>
    <col min="23" max="23" width="12.7109375" style="95" customWidth="1"/>
    <col min="24" max="24" width="16.7109375" style="95" customWidth="1"/>
    <col min="25" max="25" width="15.421875" style="95" customWidth="1"/>
    <col min="26" max="26" width="17.00390625" style="95" customWidth="1"/>
    <col min="27" max="27" width="12.421875" style="95" customWidth="1"/>
    <col min="28" max="28" width="13.8515625" style="95" customWidth="1"/>
    <col min="29" max="29" width="15.140625" style="95" customWidth="1"/>
    <col min="30" max="30" width="15.421875" style="95" bestFit="1" customWidth="1"/>
    <col min="31" max="31" width="16.7109375" style="95" bestFit="1" customWidth="1"/>
    <col min="32" max="32" width="15.421875" style="95" bestFit="1" customWidth="1"/>
    <col min="33" max="33" width="11.421875" style="93" customWidth="1"/>
    <col min="34" max="34" width="10.28125" style="93" bestFit="1" customWidth="1"/>
    <col min="35" max="35" width="22.421875" style="93" customWidth="1"/>
    <col min="36" max="36" width="12.28125" style="93" bestFit="1" customWidth="1"/>
    <col min="37" max="37" width="9.140625" style="93" customWidth="1"/>
    <col min="38" max="38" width="9.7109375" style="93" bestFit="1" customWidth="1"/>
    <col min="39" max="225" width="9.140625" style="93" customWidth="1"/>
    <col min="226" max="226" width="61.00390625" style="93" customWidth="1"/>
    <col min="227" max="227" width="9.140625" style="93" customWidth="1"/>
    <col min="228" max="228" width="5.8515625" style="93" customWidth="1"/>
    <col min="229" max="229" width="5.140625" style="93" customWidth="1"/>
    <col min="230" max="230" width="18.140625" style="93" customWidth="1"/>
    <col min="231" max="231" width="8.421875" style="93" customWidth="1"/>
    <col min="232" max="232" width="27.140625" style="93" customWidth="1"/>
    <col min="233" max="239" width="0" style="93" hidden="1" customWidth="1"/>
    <col min="240" max="240" width="12.421875" style="93" bestFit="1" customWidth="1"/>
    <col min="241" max="241" width="13.28125" style="93" bestFit="1" customWidth="1"/>
    <col min="242" max="242" width="46.7109375" style="93" bestFit="1" customWidth="1"/>
    <col min="243" max="16384" width="9.140625" style="93" customWidth="1"/>
  </cols>
  <sheetData>
    <row r="1" spans="7:8" ht="15.75">
      <c r="G1" s="369" t="s">
        <v>16</v>
      </c>
      <c r="H1" s="369"/>
    </row>
    <row r="2" spans="7:8" ht="15.75">
      <c r="G2" s="377" t="s">
        <v>772</v>
      </c>
      <c r="H2" s="377"/>
    </row>
    <row r="3" spans="7:8" ht="15.75">
      <c r="G3" s="377" t="s">
        <v>17</v>
      </c>
      <c r="H3" s="377"/>
    </row>
    <row r="4" spans="7:8" ht="15.75">
      <c r="G4" s="377" t="s">
        <v>18</v>
      </c>
      <c r="H4" s="377"/>
    </row>
    <row r="5" spans="7:8" ht="15.75">
      <c r="G5" s="371" t="s">
        <v>773</v>
      </c>
      <c r="H5" s="371"/>
    </row>
    <row r="6" spans="7:8" ht="15.75">
      <c r="G6" s="377" t="s">
        <v>774</v>
      </c>
      <c r="H6" s="377"/>
    </row>
    <row r="7" spans="7:8" ht="18">
      <c r="G7" s="366"/>
      <c r="H7" s="368"/>
    </row>
    <row r="8" spans="7:8" ht="18">
      <c r="G8" s="368"/>
      <c r="H8" s="368"/>
    </row>
    <row r="9" spans="1:8" ht="117" customHeight="1">
      <c r="A9" s="378" t="s">
        <v>384</v>
      </c>
      <c r="B9" s="378"/>
      <c r="C9" s="378"/>
      <c r="D9" s="378"/>
      <c r="E9" s="378"/>
      <c r="F9" s="378"/>
      <c r="G9" s="378"/>
      <c r="H9" s="378"/>
    </row>
    <row r="11" spans="1:7" ht="15.75">
      <c r="A11" s="94"/>
      <c r="G11" s="96"/>
    </row>
    <row r="12" spans="1:8" ht="16.5">
      <c r="A12" s="97" t="s">
        <v>20</v>
      </c>
      <c r="B12" s="98" t="s">
        <v>295</v>
      </c>
      <c r="C12" s="98" t="s">
        <v>296</v>
      </c>
      <c r="D12" s="98" t="s">
        <v>179</v>
      </c>
      <c r="E12" s="98" t="s">
        <v>180</v>
      </c>
      <c r="F12" s="99" t="s">
        <v>21</v>
      </c>
      <c r="G12" s="99" t="s">
        <v>22</v>
      </c>
      <c r="H12" s="99" t="s">
        <v>166</v>
      </c>
    </row>
    <row r="13" spans="1:32" s="103" customFormat="1" ht="16.5">
      <c r="A13" s="100" t="s">
        <v>297</v>
      </c>
      <c r="B13" s="101"/>
      <c r="C13" s="101"/>
      <c r="D13" s="101"/>
      <c r="E13" s="101"/>
      <c r="F13" s="102">
        <f>F14+F177+F98+F109+F217+F209+F129+F141+F171+F165</f>
        <v>1402599945.09</v>
      </c>
      <c r="G13" s="102">
        <f>G14+G177+G98+G109+G217+G209+G129+G141+G171+G165</f>
        <v>600178656.79</v>
      </c>
      <c r="H13" s="102">
        <f>H14+H177+H98+H109+H217+H209+H129+H141+H171+H165</f>
        <v>600178656.79</v>
      </c>
      <c r="I13" s="169"/>
      <c r="J13" s="302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3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</row>
    <row r="14" spans="1:32" s="103" customFormat="1" ht="16.5">
      <c r="A14" s="70" t="s">
        <v>298</v>
      </c>
      <c r="B14" s="105" t="s">
        <v>299</v>
      </c>
      <c r="C14" s="105"/>
      <c r="D14" s="105"/>
      <c r="E14" s="105"/>
      <c r="F14" s="106">
        <f>F15+F20+F27+F35+F52+F57+F47</f>
        <v>708373450.85</v>
      </c>
      <c r="G14" s="106">
        <f>G15+G20+G27+G35+G52+G57+G47</f>
        <v>557460927.11</v>
      </c>
      <c r="H14" s="106">
        <f>H15+H20+H27+H35+H52+H57+H47</f>
        <v>557460927.11</v>
      </c>
      <c r="I14" s="169"/>
      <c r="J14" s="302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/>
      <c r="V14" s="3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32" s="103" customFormat="1" ht="51">
      <c r="A15" s="70" t="s">
        <v>300</v>
      </c>
      <c r="B15" s="105" t="s">
        <v>299</v>
      </c>
      <c r="C15" s="105" t="s">
        <v>301</v>
      </c>
      <c r="D15" s="105"/>
      <c r="E15" s="105"/>
      <c r="F15" s="106">
        <f>F16</f>
        <v>8175148.1</v>
      </c>
      <c r="G15" s="106">
        <f aca="true" t="shared" si="0" ref="F15:H18">G16</f>
        <v>7119360</v>
      </c>
      <c r="H15" s="106">
        <f t="shared" si="0"/>
        <v>7119360</v>
      </c>
      <c r="I15" s="169"/>
      <c r="J15" s="302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4"/>
      <c r="V15" s="3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2" s="103" customFormat="1" ht="16.5">
      <c r="A16" s="70" t="s">
        <v>302</v>
      </c>
      <c r="B16" s="105" t="s">
        <v>299</v>
      </c>
      <c r="C16" s="105" t="s">
        <v>301</v>
      </c>
      <c r="D16" s="105" t="s">
        <v>303</v>
      </c>
      <c r="E16" s="105"/>
      <c r="F16" s="106">
        <f>F17</f>
        <v>8175148.1</v>
      </c>
      <c r="G16" s="106">
        <f t="shared" si="0"/>
        <v>7119360</v>
      </c>
      <c r="H16" s="106">
        <f t="shared" si="0"/>
        <v>7119360</v>
      </c>
      <c r="I16" s="169"/>
      <c r="J16" s="302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4"/>
      <c r="V16" s="3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8" ht="33.75">
      <c r="A17" s="48" t="s">
        <v>304</v>
      </c>
      <c r="B17" s="107" t="s">
        <v>299</v>
      </c>
      <c r="C17" s="107" t="s">
        <v>301</v>
      </c>
      <c r="D17" s="107" t="s">
        <v>305</v>
      </c>
      <c r="E17" s="107"/>
      <c r="F17" s="108">
        <f t="shared" si="0"/>
        <v>8175148.1</v>
      </c>
      <c r="G17" s="108">
        <f t="shared" si="0"/>
        <v>7119360</v>
      </c>
      <c r="H17" s="108">
        <f t="shared" si="0"/>
        <v>7119360</v>
      </c>
    </row>
    <row r="18" spans="1:8" ht="16.5">
      <c r="A18" s="48" t="s">
        <v>306</v>
      </c>
      <c r="B18" s="107" t="s">
        <v>299</v>
      </c>
      <c r="C18" s="107" t="s">
        <v>301</v>
      </c>
      <c r="D18" s="107" t="s">
        <v>307</v>
      </c>
      <c r="E18" s="107"/>
      <c r="F18" s="108">
        <f t="shared" si="0"/>
        <v>8175148.1</v>
      </c>
      <c r="G18" s="108">
        <f t="shared" si="0"/>
        <v>7119360</v>
      </c>
      <c r="H18" s="108">
        <f t="shared" si="0"/>
        <v>7119360</v>
      </c>
    </row>
    <row r="19" spans="1:8" ht="84.75">
      <c r="A19" s="48" t="s">
        <v>186</v>
      </c>
      <c r="B19" s="107" t="s">
        <v>299</v>
      </c>
      <c r="C19" s="107" t="s">
        <v>301</v>
      </c>
      <c r="D19" s="107" t="s">
        <v>307</v>
      </c>
      <c r="E19" s="107" t="s">
        <v>221</v>
      </c>
      <c r="F19" s="109">
        <f>7119360+1064188.1-8400</f>
        <v>8175148.1</v>
      </c>
      <c r="G19" s="109">
        <v>7119360</v>
      </c>
      <c r="H19" s="109">
        <v>7119360</v>
      </c>
    </row>
    <row r="20" spans="1:32" s="103" customFormat="1" ht="67.5">
      <c r="A20" s="70" t="s">
        <v>308</v>
      </c>
      <c r="B20" s="105" t="s">
        <v>299</v>
      </c>
      <c r="C20" s="105" t="s">
        <v>309</v>
      </c>
      <c r="D20" s="105"/>
      <c r="E20" s="105"/>
      <c r="F20" s="106">
        <f aca="true" t="shared" si="1" ref="F20:H22">F21</f>
        <v>3854672.66</v>
      </c>
      <c r="G20" s="106">
        <f t="shared" si="1"/>
        <v>3952396.66</v>
      </c>
      <c r="H20" s="106">
        <f t="shared" si="1"/>
        <v>3952396.66</v>
      </c>
      <c r="I20" s="169"/>
      <c r="J20" s="302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  <c r="V20" s="3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s="103" customFormat="1" ht="16.5">
      <c r="A21" s="70" t="s">
        <v>302</v>
      </c>
      <c r="B21" s="105" t="s">
        <v>299</v>
      </c>
      <c r="C21" s="105" t="s">
        <v>309</v>
      </c>
      <c r="D21" s="105" t="s">
        <v>303</v>
      </c>
      <c r="E21" s="105"/>
      <c r="F21" s="106">
        <f t="shared" si="1"/>
        <v>3854672.66</v>
      </c>
      <c r="G21" s="106">
        <f t="shared" si="1"/>
        <v>3952396.66</v>
      </c>
      <c r="H21" s="106">
        <f t="shared" si="1"/>
        <v>3952396.66</v>
      </c>
      <c r="I21" s="169"/>
      <c r="J21" s="302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4"/>
      <c r="V21" s="3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8" ht="33.75">
      <c r="A22" s="48" t="s">
        <v>304</v>
      </c>
      <c r="B22" s="107" t="s">
        <v>299</v>
      </c>
      <c r="C22" s="107" t="s">
        <v>309</v>
      </c>
      <c r="D22" s="107" t="s">
        <v>305</v>
      </c>
      <c r="E22" s="107"/>
      <c r="F22" s="108">
        <f t="shared" si="1"/>
        <v>3854672.66</v>
      </c>
      <c r="G22" s="108">
        <f t="shared" si="1"/>
        <v>3952396.66</v>
      </c>
      <c r="H22" s="108">
        <f t="shared" si="1"/>
        <v>3952396.66</v>
      </c>
    </row>
    <row r="23" spans="1:8" ht="33.75">
      <c r="A23" s="46" t="s">
        <v>310</v>
      </c>
      <c r="B23" s="107" t="s">
        <v>299</v>
      </c>
      <c r="C23" s="107" t="s">
        <v>309</v>
      </c>
      <c r="D23" s="107" t="s">
        <v>311</v>
      </c>
      <c r="E23" s="107"/>
      <c r="F23" s="108">
        <f>F24+F25+F26</f>
        <v>3854672.66</v>
      </c>
      <c r="G23" s="108">
        <f>G24+G25+G26</f>
        <v>3952396.66</v>
      </c>
      <c r="H23" s="108">
        <f>H24+H25+H26</f>
        <v>3952396.66</v>
      </c>
    </row>
    <row r="24" spans="1:8" ht="84.75">
      <c r="A24" s="48" t="s">
        <v>186</v>
      </c>
      <c r="B24" s="107" t="s">
        <v>299</v>
      </c>
      <c r="C24" s="107" t="s">
        <v>309</v>
      </c>
      <c r="D24" s="107" t="s">
        <v>311</v>
      </c>
      <c r="E24" s="107" t="s">
        <v>221</v>
      </c>
      <c r="F24" s="109">
        <f>958894.66-50000-334860-36524</f>
        <v>537510.66</v>
      </c>
      <c r="G24" s="109">
        <f>958894.66-50000-334860</f>
        <v>574034.66</v>
      </c>
      <c r="H24" s="109">
        <f>958894.66-50000-334860</f>
        <v>574034.66</v>
      </c>
    </row>
    <row r="25" spans="1:8" ht="33.75">
      <c r="A25" s="48" t="s">
        <v>187</v>
      </c>
      <c r="B25" s="107" t="s">
        <v>299</v>
      </c>
      <c r="C25" s="107" t="s">
        <v>309</v>
      </c>
      <c r="D25" s="107" t="s">
        <v>311</v>
      </c>
      <c r="E25" s="107" t="s">
        <v>244</v>
      </c>
      <c r="F25" s="109">
        <f>3358362-20000-41200</f>
        <v>3297162</v>
      </c>
      <c r="G25" s="109">
        <v>3358362</v>
      </c>
      <c r="H25" s="109">
        <v>3358362</v>
      </c>
    </row>
    <row r="26" spans="1:8" ht="16.5">
      <c r="A26" s="48" t="s">
        <v>189</v>
      </c>
      <c r="B26" s="107" t="s">
        <v>299</v>
      </c>
      <c r="C26" s="107" t="s">
        <v>309</v>
      </c>
      <c r="D26" s="107" t="s">
        <v>311</v>
      </c>
      <c r="E26" s="107" t="s">
        <v>223</v>
      </c>
      <c r="F26" s="108">
        <v>20000</v>
      </c>
      <c r="G26" s="108">
        <v>20000</v>
      </c>
      <c r="H26" s="108">
        <v>20000</v>
      </c>
    </row>
    <row r="27" spans="1:32" s="103" customFormat="1" ht="67.5">
      <c r="A27" s="110" t="s">
        <v>312</v>
      </c>
      <c r="B27" s="105" t="s">
        <v>299</v>
      </c>
      <c r="C27" s="105" t="s">
        <v>313</v>
      </c>
      <c r="D27" s="105"/>
      <c r="E27" s="105"/>
      <c r="F27" s="106">
        <f aca="true" t="shared" si="2" ref="F27:H29">F28</f>
        <v>71110942.56</v>
      </c>
      <c r="G27" s="106">
        <f t="shared" si="2"/>
        <v>63299903.52</v>
      </c>
      <c r="H27" s="106">
        <f t="shared" si="2"/>
        <v>63299903.52</v>
      </c>
      <c r="I27" s="169"/>
      <c r="J27" s="302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4"/>
      <c r="V27" s="3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2" s="103" customFormat="1" ht="16.5">
      <c r="A28" s="70" t="s">
        <v>302</v>
      </c>
      <c r="B28" s="105" t="s">
        <v>299</v>
      </c>
      <c r="C28" s="105" t="s">
        <v>313</v>
      </c>
      <c r="D28" s="105" t="s">
        <v>303</v>
      </c>
      <c r="E28" s="105"/>
      <c r="F28" s="106">
        <f t="shared" si="2"/>
        <v>71110942.56</v>
      </c>
      <c r="G28" s="106">
        <f t="shared" si="2"/>
        <v>63299903.52</v>
      </c>
      <c r="H28" s="106">
        <f t="shared" si="2"/>
        <v>63299903.52</v>
      </c>
      <c r="I28" s="169"/>
      <c r="J28" s="302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4"/>
      <c r="V28" s="3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8" ht="33.75">
      <c r="A29" s="48" t="s">
        <v>304</v>
      </c>
      <c r="B29" s="107" t="s">
        <v>299</v>
      </c>
      <c r="C29" s="107" t="s">
        <v>313</v>
      </c>
      <c r="D29" s="107" t="s">
        <v>305</v>
      </c>
      <c r="E29" s="107"/>
      <c r="F29" s="108">
        <f t="shared" si="2"/>
        <v>71110942.56</v>
      </c>
      <c r="G29" s="108">
        <f t="shared" si="2"/>
        <v>63299903.52</v>
      </c>
      <c r="H29" s="108">
        <f t="shared" si="2"/>
        <v>63299903.52</v>
      </c>
    </row>
    <row r="30" spans="1:8" ht="33.75">
      <c r="A30" s="48" t="s">
        <v>314</v>
      </c>
      <c r="B30" s="107" t="s">
        <v>299</v>
      </c>
      <c r="C30" s="107" t="s">
        <v>313</v>
      </c>
      <c r="D30" s="107" t="s">
        <v>315</v>
      </c>
      <c r="E30" s="107"/>
      <c r="F30" s="108">
        <f>F31+F32+F33+F34</f>
        <v>71110942.56</v>
      </c>
      <c r="G30" s="108">
        <f>G31+G32+G33+G34</f>
        <v>63299903.52</v>
      </c>
      <c r="H30" s="108">
        <f>H31+H32+H33+H34</f>
        <v>63299903.52</v>
      </c>
    </row>
    <row r="31" spans="1:8" ht="84.75">
      <c r="A31" s="48" t="s">
        <v>186</v>
      </c>
      <c r="B31" s="107" t="s">
        <v>299</v>
      </c>
      <c r="C31" s="107" t="s">
        <v>313</v>
      </c>
      <c r="D31" s="107" t="s">
        <v>315</v>
      </c>
      <c r="E31" s="107" t="s">
        <v>221</v>
      </c>
      <c r="F31" s="109">
        <f>55739767.95+1207789.57+7888208.55+1885701.25-622605.4</f>
        <v>66098861.92</v>
      </c>
      <c r="G31" s="109">
        <v>56947557.52</v>
      </c>
      <c r="H31" s="109">
        <v>56947557.52</v>
      </c>
    </row>
    <row r="32" spans="1:8" ht="33.75">
      <c r="A32" s="48" t="s">
        <v>187</v>
      </c>
      <c r="B32" s="107" t="s">
        <v>299</v>
      </c>
      <c r="C32" s="107" t="s">
        <v>313</v>
      </c>
      <c r="D32" s="107" t="s">
        <v>315</v>
      </c>
      <c r="E32" s="107" t="s">
        <v>244</v>
      </c>
      <c r="F32" s="109">
        <f>6198730-792500-196700+35464-281289.36-105240</f>
        <v>4858464.64</v>
      </c>
      <c r="G32" s="109">
        <v>6198730</v>
      </c>
      <c r="H32" s="109">
        <v>6198730</v>
      </c>
    </row>
    <row r="33" spans="1:8" ht="16.5" hidden="1">
      <c r="A33" s="48" t="s">
        <v>188</v>
      </c>
      <c r="B33" s="107" t="s">
        <v>299</v>
      </c>
      <c r="C33" s="107" t="s">
        <v>313</v>
      </c>
      <c r="D33" s="107" t="s">
        <v>315</v>
      </c>
      <c r="E33" s="107" t="s">
        <v>249</v>
      </c>
      <c r="F33" s="109"/>
      <c r="G33" s="109"/>
      <c r="H33" s="109"/>
    </row>
    <row r="34" spans="1:8" ht="16.5">
      <c r="A34" s="48" t="s">
        <v>189</v>
      </c>
      <c r="B34" s="107" t="s">
        <v>299</v>
      </c>
      <c r="C34" s="107" t="s">
        <v>313</v>
      </c>
      <c r="D34" s="107" t="s">
        <v>315</v>
      </c>
      <c r="E34" s="107" t="s">
        <v>223</v>
      </c>
      <c r="F34" s="109">
        <v>153616</v>
      </c>
      <c r="G34" s="109">
        <v>153616</v>
      </c>
      <c r="H34" s="109">
        <v>153616</v>
      </c>
    </row>
    <row r="35" spans="1:32" s="103" customFormat="1" ht="51">
      <c r="A35" s="70" t="s">
        <v>316</v>
      </c>
      <c r="B35" s="105" t="s">
        <v>299</v>
      </c>
      <c r="C35" s="105" t="s">
        <v>317</v>
      </c>
      <c r="D35" s="105"/>
      <c r="E35" s="105"/>
      <c r="F35" s="106">
        <f>F36</f>
        <v>45975617.81</v>
      </c>
      <c r="G35" s="106">
        <f>G36</f>
        <v>39410172.07</v>
      </c>
      <c r="H35" s="106">
        <f>H36</f>
        <v>39410172.07</v>
      </c>
      <c r="I35" s="169"/>
      <c r="J35" s="302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4"/>
      <c r="V35" s="3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32" s="103" customFormat="1" ht="16.5">
      <c r="A36" s="70" t="s">
        <v>302</v>
      </c>
      <c r="B36" s="105" t="s">
        <v>299</v>
      </c>
      <c r="C36" s="105" t="s">
        <v>317</v>
      </c>
      <c r="D36" s="105" t="s">
        <v>303</v>
      </c>
      <c r="E36" s="105"/>
      <c r="F36" s="106">
        <f>F37+F44</f>
        <v>45975617.81</v>
      </c>
      <c r="G36" s="106">
        <f>G37+G44</f>
        <v>39410172.07</v>
      </c>
      <c r="H36" s="106">
        <f>H37+H44</f>
        <v>39410172.07</v>
      </c>
      <c r="I36" s="169"/>
      <c r="J36" s="302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4"/>
      <c r="V36" s="3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8" ht="33.75">
      <c r="A37" s="48" t="s">
        <v>304</v>
      </c>
      <c r="B37" s="107" t="s">
        <v>299</v>
      </c>
      <c r="C37" s="107" t="s">
        <v>317</v>
      </c>
      <c r="D37" s="107" t="s">
        <v>305</v>
      </c>
      <c r="E37" s="107"/>
      <c r="F37" s="108">
        <f>F38+F40</f>
        <v>12119231.81</v>
      </c>
      <c r="G37" s="108">
        <f>G38+G40</f>
        <v>10145858.07</v>
      </c>
      <c r="H37" s="108">
        <f>H38+H40</f>
        <v>10145858.07</v>
      </c>
    </row>
    <row r="38" spans="1:8" ht="33.75">
      <c r="A38" s="48" t="s">
        <v>318</v>
      </c>
      <c r="B38" s="107" t="s">
        <v>299</v>
      </c>
      <c r="C38" s="107" t="s">
        <v>317</v>
      </c>
      <c r="D38" s="107" t="s">
        <v>319</v>
      </c>
      <c r="E38" s="107"/>
      <c r="F38" s="108">
        <f>F39</f>
        <v>4428437.54</v>
      </c>
      <c r="G38" s="108">
        <f>G39</f>
        <v>3314252</v>
      </c>
      <c r="H38" s="108">
        <f>H39</f>
        <v>3314252</v>
      </c>
    </row>
    <row r="39" spans="1:8" ht="84.75">
      <c r="A39" s="48" t="s">
        <v>186</v>
      </c>
      <c r="B39" s="107" t="s">
        <v>299</v>
      </c>
      <c r="C39" s="107" t="s">
        <v>317</v>
      </c>
      <c r="D39" s="107" t="s">
        <v>319</v>
      </c>
      <c r="E39" s="107" t="s">
        <v>221</v>
      </c>
      <c r="F39" s="108">
        <f>3314252+480480+633705.54</f>
        <v>4428437.54</v>
      </c>
      <c r="G39" s="108">
        <v>3314252</v>
      </c>
      <c r="H39" s="108">
        <v>3314252</v>
      </c>
    </row>
    <row r="40" spans="1:8" ht="33.75">
      <c r="A40" s="48" t="s">
        <v>314</v>
      </c>
      <c r="B40" s="107" t="s">
        <v>299</v>
      </c>
      <c r="C40" s="107" t="s">
        <v>317</v>
      </c>
      <c r="D40" s="107" t="s">
        <v>315</v>
      </c>
      <c r="E40" s="107"/>
      <c r="F40" s="108">
        <f>F41+F42+F43</f>
        <v>7690794.2700000005</v>
      </c>
      <c r="G40" s="108">
        <f>G41+G42+G43</f>
        <v>6831606.07</v>
      </c>
      <c r="H40" s="108">
        <f>H41+H42+H43</f>
        <v>6831606.07</v>
      </c>
    </row>
    <row r="41" spans="1:8" ht="84.75">
      <c r="A41" s="48" t="s">
        <v>186</v>
      </c>
      <c r="B41" s="107" t="s">
        <v>299</v>
      </c>
      <c r="C41" s="107" t="s">
        <v>317</v>
      </c>
      <c r="D41" s="107" t="s">
        <v>315</v>
      </c>
      <c r="E41" s="107" t="s">
        <v>221</v>
      </c>
      <c r="F41" s="109">
        <f>5439106.07+475554+79641+433634.2</f>
        <v>6427935.2700000005</v>
      </c>
      <c r="G41" s="109">
        <v>5439106.07</v>
      </c>
      <c r="H41" s="109">
        <v>5439106.07</v>
      </c>
    </row>
    <row r="42" spans="1:8" ht="33.75">
      <c r="A42" s="48" t="s">
        <v>187</v>
      </c>
      <c r="B42" s="107" t="s">
        <v>299</v>
      </c>
      <c r="C42" s="107" t="s">
        <v>317</v>
      </c>
      <c r="D42" s="107" t="s">
        <v>315</v>
      </c>
      <c r="E42" s="107" t="s">
        <v>244</v>
      </c>
      <c r="F42" s="109">
        <f>1392500-50000-79641</f>
        <v>1262859</v>
      </c>
      <c r="G42" s="109">
        <v>1392500</v>
      </c>
      <c r="H42" s="109">
        <v>1392500</v>
      </c>
    </row>
    <row r="43" spans="1:8" ht="16.5" hidden="1">
      <c r="A43" s="48" t="s">
        <v>188</v>
      </c>
      <c r="B43" s="107" t="s">
        <v>299</v>
      </c>
      <c r="C43" s="107" t="s">
        <v>317</v>
      </c>
      <c r="D43" s="107" t="s">
        <v>315</v>
      </c>
      <c r="E43" s="107" t="s">
        <v>249</v>
      </c>
      <c r="F43" s="109">
        <v>0</v>
      </c>
      <c r="G43" s="109">
        <v>0</v>
      </c>
      <c r="H43" s="109">
        <v>0</v>
      </c>
    </row>
    <row r="44" spans="1:8" ht="33.75">
      <c r="A44" s="48" t="s">
        <v>314</v>
      </c>
      <c r="B44" s="107" t="s">
        <v>299</v>
      </c>
      <c r="C44" s="107" t="s">
        <v>317</v>
      </c>
      <c r="D44" s="107" t="s">
        <v>315</v>
      </c>
      <c r="E44" s="107"/>
      <c r="F44" s="108">
        <f>F45+F46</f>
        <v>33856386</v>
      </c>
      <c r="G44" s="108">
        <f>G45+G46</f>
        <v>29264314</v>
      </c>
      <c r="H44" s="108">
        <f>H45+H46</f>
        <v>29264314</v>
      </c>
    </row>
    <row r="45" spans="1:8" ht="84.75">
      <c r="A45" s="48" t="s">
        <v>186</v>
      </c>
      <c r="B45" s="107" t="s">
        <v>299</v>
      </c>
      <c r="C45" s="107" t="s">
        <v>317</v>
      </c>
      <c r="D45" s="107" t="s">
        <v>315</v>
      </c>
      <c r="E45" s="107" t="s">
        <v>221</v>
      </c>
      <c r="F45" s="108">
        <f>27336314+2581476+2330596</f>
        <v>32248386</v>
      </c>
      <c r="G45" s="108">
        <v>27336314</v>
      </c>
      <c r="H45" s="108">
        <v>27336314</v>
      </c>
    </row>
    <row r="46" spans="1:8" ht="33.75">
      <c r="A46" s="48" t="s">
        <v>187</v>
      </c>
      <c r="B46" s="107" t="s">
        <v>299</v>
      </c>
      <c r="C46" s="107" t="s">
        <v>317</v>
      </c>
      <c r="D46" s="107" t="s">
        <v>315</v>
      </c>
      <c r="E46" s="107" t="s">
        <v>244</v>
      </c>
      <c r="F46" s="109">
        <f>1928000-120000-200000</f>
        <v>1608000</v>
      </c>
      <c r="G46" s="109">
        <v>1928000</v>
      </c>
      <c r="H46" s="109">
        <v>1928000</v>
      </c>
    </row>
    <row r="47" spans="1:8" ht="16.5">
      <c r="A47" s="70" t="s">
        <v>392</v>
      </c>
      <c r="B47" s="105" t="s">
        <v>299</v>
      </c>
      <c r="C47" s="105" t="s">
        <v>353</v>
      </c>
      <c r="D47" s="105"/>
      <c r="E47" s="105"/>
      <c r="F47" s="111">
        <f>F48</f>
        <v>6970452</v>
      </c>
      <c r="G47" s="111">
        <f aca="true" t="shared" si="3" ref="G47:H50">G48</f>
        <v>0</v>
      </c>
      <c r="H47" s="111">
        <f t="shared" si="3"/>
        <v>0</v>
      </c>
    </row>
    <row r="48" spans="1:8" ht="16.5">
      <c r="A48" s="70" t="s">
        <v>302</v>
      </c>
      <c r="B48" s="105" t="s">
        <v>299</v>
      </c>
      <c r="C48" s="105" t="s">
        <v>353</v>
      </c>
      <c r="D48" s="105" t="s">
        <v>303</v>
      </c>
      <c r="E48" s="105"/>
      <c r="F48" s="111">
        <f>F49</f>
        <v>6970452</v>
      </c>
      <c r="G48" s="111">
        <f t="shared" si="3"/>
        <v>0</v>
      </c>
      <c r="H48" s="111">
        <f t="shared" si="3"/>
        <v>0</v>
      </c>
    </row>
    <row r="49" spans="1:8" ht="16.5">
      <c r="A49" s="48" t="s">
        <v>391</v>
      </c>
      <c r="B49" s="107" t="s">
        <v>299</v>
      </c>
      <c r="C49" s="107" t="s">
        <v>353</v>
      </c>
      <c r="D49" s="107" t="s">
        <v>390</v>
      </c>
      <c r="E49" s="107"/>
      <c r="F49" s="109">
        <f>F50</f>
        <v>6970452</v>
      </c>
      <c r="G49" s="109">
        <f t="shared" si="3"/>
        <v>0</v>
      </c>
      <c r="H49" s="109">
        <f t="shared" si="3"/>
        <v>0</v>
      </c>
    </row>
    <row r="50" spans="1:8" ht="16.5">
      <c r="A50" s="48" t="s">
        <v>388</v>
      </c>
      <c r="B50" s="107" t="s">
        <v>299</v>
      </c>
      <c r="C50" s="107" t="s">
        <v>353</v>
      </c>
      <c r="D50" s="107" t="s">
        <v>389</v>
      </c>
      <c r="E50" s="107"/>
      <c r="F50" s="109">
        <f>F51</f>
        <v>6970452</v>
      </c>
      <c r="G50" s="109">
        <f t="shared" si="3"/>
        <v>0</v>
      </c>
      <c r="H50" s="109">
        <f t="shared" si="3"/>
        <v>0</v>
      </c>
    </row>
    <row r="51" spans="1:8" ht="16.5">
      <c r="A51" s="48" t="s">
        <v>189</v>
      </c>
      <c r="B51" s="107" t="s">
        <v>299</v>
      </c>
      <c r="C51" s="107" t="s">
        <v>353</v>
      </c>
      <c r="D51" s="107" t="s">
        <v>389</v>
      </c>
      <c r="E51" s="107" t="s">
        <v>223</v>
      </c>
      <c r="F51" s="109">
        <v>6970452</v>
      </c>
      <c r="G51" s="109">
        <v>0</v>
      </c>
      <c r="H51" s="109">
        <v>0</v>
      </c>
    </row>
    <row r="52" spans="1:32" s="103" customFormat="1" ht="16.5">
      <c r="A52" s="70" t="s">
        <v>320</v>
      </c>
      <c r="B52" s="105" t="s">
        <v>299</v>
      </c>
      <c r="C52" s="105" t="s">
        <v>321</v>
      </c>
      <c r="D52" s="105"/>
      <c r="E52" s="105"/>
      <c r="F52" s="106">
        <f aca="true" t="shared" si="4" ref="F52:H55">F53</f>
        <v>20291093.749999993</v>
      </c>
      <c r="G52" s="106">
        <f t="shared" si="4"/>
        <v>30000000</v>
      </c>
      <c r="H52" s="106">
        <f t="shared" si="4"/>
        <v>30000000</v>
      </c>
      <c r="I52" s="169"/>
      <c r="J52" s="302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4"/>
      <c r="V52" s="3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32" s="103" customFormat="1" ht="16.5">
      <c r="A53" s="70" t="s">
        <v>302</v>
      </c>
      <c r="B53" s="105" t="s">
        <v>299</v>
      </c>
      <c r="C53" s="105" t="s">
        <v>321</v>
      </c>
      <c r="D53" s="105" t="s">
        <v>303</v>
      </c>
      <c r="E53" s="105"/>
      <c r="F53" s="106">
        <f t="shared" si="4"/>
        <v>20291093.749999993</v>
      </c>
      <c r="G53" s="106">
        <f t="shared" si="4"/>
        <v>30000000</v>
      </c>
      <c r="H53" s="106">
        <f t="shared" si="4"/>
        <v>30000000</v>
      </c>
      <c r="I53" s="169"/>
      <c r="J53" s="302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4"/>
      <c r="V53" s="3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1:8" ht="16.5">
      <c r="A54" s="48" t="s">
        <v>322</v>
      </c>
      <c r="B54" s="107" t="s">
        <v>299</v>
      </c>
      <c r="C54" s="107" t="s">
        <v>321</v>
      </c>
      <c r="D54" s="107" t="s">
        <v>323</v>
      </c>
      <c r="E54" s="107"/>
      <c r="F54" s="108">
        <f t="shared" si="4"/>
        <v>20291093.749999993</v>
      </c>
      <c r="G54" s="108">
        <f t="shared" si="4"/>
        <v>30000000</v>
      </c>
      <c r="H54" s="108">
        <f t="shared" si="4"/>
        <v>30000000</v>
      </c>
    </row>
    <row r="55" spans="1:16" ht="16.5">
      <c r="A55" s="48" t="s">
        <v>324</v>
      </c>
      <c r="B55" s="107" t="s">
        <v>299</v>
      </c>
      <c r="C55" s="107" t="s">
        <v>321</v>
      </c>
      <c r="D55" s="107" t="s">
        <v>325</v>
      </c>
      <c r="E55" s="107"/>
      <c r="F55" s="108">
        <f t="shared" si="4"/>
        <v>20291093.749999993</v>
      </c>
      <c r="G55" s="108">
        <f t="shared" si="4"/>
        <v>30000000</v>
      </c>
      <c r="H55" s="108">
        <f t="shared" si="4"/>
        <v>30000000</v>
      </c>
      <c r="O55" s="305"/>
      <c r="P55" s="305"/>
    </row>
    <row r="56" spans="1:26" ht="18">
      <c r="A56" s="48" t="s">
        <v>189</v>
      </c>
      <c r="B56" s="107" t="s">
        <v>299</v>
      </c>
      <c r="C56" s="107" t="s">
        <v>321</v>
      </c>
      <c r="D56" s="107" t="s">
        <v>325</v>
      </c>
      <c r="E56" s="107" t="s">
        <v>223</v>
      </c>
      <c r="F56" s="109">
        <f>50000000-2500000-608800-4561714.79-1953351.6+2500000+608800+4561714.79-491373.36+491373.36-396190.28+396190.28-4000000+4000000-164798.4+164798.4-22228.88-714078+714078-908760+908760-10000000-4800731.99-460919-1062299-75000-4798676.55-4768543.23-767156-1000000-1466300+1466300-301004.68+301004.68-2596000+2596000</f>
        <v>20291093.749999993</v>
      </c>
      <c r="G56" s="109">
        <v>30000000</v>
      </c>
      <c r="H56" s="109">
        <v>30000000</v>
      </c>
      <c r="V56" s="305"/>
      <c r="Z56" s="332"/>
    </row>
    <row r="57" spans="1:32" s="103" customFormat="1" ht="16.5">
      <c r="A57" s="70" t="s">
        <v>326</v>
      </c>
      <c r="B57" s="105" t="s">
        <v>299</v>
      </c>
      <c r="C57" s="105" t="s">
        <v>327</v>
      </c>
      <c r="D57" s="105"/>
      <c r="E57" s="105"/>
      <c r="F57" s="106">
        <f>F58</f>
        <v>551995523.97</v>
      </c>
      <c r="G57" s="106">
        <f>G58</f>
        <v>413679094.86</v>
      </c>
      <c r="H57" s="106">
        <f>H58</f>
        <v>413679094.86</v>
      </c>
      <c r="I57" s="169"/>
      <c r="J57" s="302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4"/>
      <c r="V57" s="3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</row>
    <row r="58" spans="1:32" s="103" customFormat="1" ht="16.5">
      <c r="A58" s="70" t="s">
        <v>302</v>
      </c>
      <c r="B58" s="105" t="s">
        <v>299</v>
      </c>
      <c r="C58" s="105" t="s">
        <v>327</v>
      </c>
      <c r="D58" s="101">
        <v>9900000000</v>
      </c>
      <c r="E58" s="105"/>
      <c r="F58" s="106">
        <f>F59+F82</f>
        <v>551995523.97</v>
      </c>
      <c r="G58" s="106">
        <f>G59+G82</f>
        <v>413679094.86</v>
      </c>
      <c r="H58" s="106">
        <f>H59+H82</f>
        <v>413679094.86</v>
      </c>
      <c r="I58" s="169"/>
      <c r="J58" s="302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4"/>
      <c r="V58" s="3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1:8" ht="33.75">
      <c r="A59" s="48" t="s">
        <v>304</v>
      </c>
      <c r="B59" s="107" t="s">
        <v>299</v>
      </c>
      <c r="C59" s="107" t="s">
        <v>327</v>
      </c>
      <c r="D59" s="98">
        <v>9910000000</v>
      </c>
      <c r="E59" s="107"/>
      <c r="F59" s="108">
        <f>F60+F62+F64+F68+F70+F74+F78</f>
        <v>446950562.29</v>
      </c>
      <c r="G59" s="108">
        <f>G60+G62+G64+G68+G70+G74+G78</f>
        <v>408093714.86</v>
      </c>
      <c r="H59" s="108">
        <f>H60+H62+H64+H68+H70+H74+H78</f>
        <v>408093714.86</v>
      </c>
    </row>
    <row r="60" spans="1:8" ht="33.75">
      <c r="A60" s="46" t="s">
        <v>314</v>
      </c>
      <c r="B60" s="107" t="s">
        <v>299</v>
      </c>
      <c r="C60" s="107" t="s">
        <v>327</v>
      </c>
      <c r="D60" s="98">
        <v>9910011410</v>
      </c>
      <c r="E60" s="107"/>
      <c r="F60" s="108">
        <f>F61</f>
        <v>1354099.6199999999</v>
      </c>
      <c r="G60" s="108">
        <f>G61</f>
        <v>1098864.13</v>
      </c>
      <c r="H60" s="108">
        <f>H61</f>
        <v>1098864.13</v>
      </c>
    </row>
    <row r="61" spans="1:8" ht="84.75">
      <c r="A61" s="46" t="s">
        <v>186</v>
      </c>
      <c r="B61" s="107" t="s">
        <v>299</v>
      </c>
      <c r="C61" s="107" t="s">
        <v>327</v>
      </c>
      <c r="D61" s="98">
        <v>9910011410</v>
      </c>
      <c r="E61" s="107" t="s">
        <v>221</v>
      </c>
      <c r="F61" s="108">
        <f>1098864.13-112217.36+367452.85</f>
        <v>1354099.6199999999</v>
      </c>
      <c r="G61" s="108">
        <v>1098864.13</v>
      </c>
      <c r="H61" s="108">
        <v>1098864.13</v>
      </c>
    </row>
    <row r="62" spans="1:8" ht="33.75">
      <c r="A62" s="46" t="s">
        <v>328</v>
      </c>
      <c r="B62" s="107" t="s">
        <v>299</v>
      </c>
      <c r="C62" s="107" t="s">
        <v>327</v>
      </c>
      <c r="D62" s="98">
        <v>9910022001</v>
      </c>
      <c r="E62" s="107"/>
      <c r="F62" s="108">
        <f>F63</f>
        <v>2287286</v>
      </c>
      <c r="G62" s="108">
        <f>G63</f>
        <v>2287286</v>
      </c>
      <c r="H62" s="108">
        <f>H63</f>
        <v>2287286</v>
      </c>
    </row>
    <row r="63" spans="1:8" ht="84.75">
      <c r="A63" s="46" t="s">
        <v>186</v>
      </c>
      <c r="B63" s="107" t="s">
        <v>299</v>
      </c>
      <c r="C63" s="107" t="s">
        <v>327</v>
      </c>
      <c r="D63" s="98">
        <v>9910022001</v>
      </c>
      <c r="E63" s="107" t="s">
        <v>221</v>
      </c>
      <c r="F63" s="108">
        <v>2287286</v>
      </c>
      <c r="G63" s="108">
        <v>2287286</v>
      </c>
      <c r="H63" s="108">
        <v>2287286</v>
      </c>
    </row>
    <row r="64" spans="1:8" ht="33.75">
      <c r="A64" s="46" t="s">
        <v>328</v>
      </c>
      <c r="B64" s="107" t="s">
        <v>299</v>
      </c>
      <c r="C64" s="107" t="s">
        <v>327</v>
      </c>
      <c r="D64" s="98">
        <v>9910022001</v>
      </c>
      <c r="E64" s="107"/>
      <c r="F64" s="108">
        <f>F65+F66+F67</f>
        <v>5412126.63</v>
      </c>
      <c r="G64" s="108">
        <f>G65+G66+G67</f>
        <v>5125073.63</v>
      </c>
      <c r="H64" s="108">
        <f>H65+H66+H67</f>
        <v>5125073.63</v>
      </c>
    </row>
    <row r="65" spans="1:8" ht="84.75">
      <c r="A65" s="48" t="s">
        <v>186</v>
      </c>
      <c r="B65" s="107" t="s">
        <v>299</v>
      </c>
      <c r="C65" s="107" t="s">
        <v>327</v>
      </c>
      <c r="D65" s="98">
        <v>9910022001</v>
      </c>
      <c r="E65" s="107" t="s">
        <v>221</v>
      </c>
      <c r="F65" s="109">
        <f>4293590.99+54370+182683+50000</f>
        <v>4580643.99</v>
      </c>
      <c r="G65" s="109">
        <v>4293590.99</v>
      </c>
      <c r="H65" s="109">
        <v>4293590.99</v>
      </c>
    </row>
    <row r="66" spans="1:8" ht="33.75">
      <c r="A66" s="48" t="s">
        <v>187</v>
      </c>
      <c r="B66" s="107" t="s">
        <v>299</v>
      </c>
      <c r="C66" s="107" t="s">
        <v>327</v>
      </c>
      <c r="D66" s="98">
        <v>9910022001</v>
      </c>
      <c r="E66" s="107" t="s">
        <v>244</v>
      </c>
      <c r="F66" s="109">
        <f>831482.64-3000</f>
        <v>828482.64</v>
      </c>
      <c r="G66" s="109">
        <v>831482.64</v>
      </c>
      <c r="H66" s="109">
        <v>831482.64</v>
      </c>
    </row>
    <row r="67" spans="1:8" ht="16.5">
      <c r="A67" s="48" t="s">
        <v>189</v>
      </c>
      <c r="B67" s="107" t="s">
        <v>299</v>
      </c>
      <c r="C67" s="107" t="s">
        <v>327</v>
      </c>
      <c r="D67" s="98">
        <v>9910022001</v>
      </c>
      <c r="E67" s="107" t="s">
        <v>223</v>
      </c>
      <c r="F67" s="109">
        <v>3000</v>
      </c>
      <c r="G67" s="109">
        <v>0</v>
      </c>
      <c r="H67" s="109">
        <v>0</v>
      </c>
    </row>
    <row r="68" spans="1:8" ht="33.75">
      <c r="A68" s="46" t="s">
        <v>328</v>
      </c>
      <c r="B68" s="107" t="s">
        <v>299</v>
      </c>
      <c r="C68" s="107" t="s">
        <v>327</v>
      </c>
      <c r="D68" s="98">
        <v>9910022001</v>
      </c>
      <c r="E68" s="107"/>
      <c r="F68" s="108">
        <f>SUM(F69:F69)</f>
        <v>290760354.23</v>
      </c>
      <c r="G68" s="108">
        <f>SUM(G69:G69)</f>
        <v>256831322.82</v>
      </c>
      <c r="H68" s="108">
        <f>SUM(H69:H69)</f>
        <v>256831322.82</v>
      </c>
    </row>
    <row r="69" spans="1:8" ht="33.75">
      <c r="A69" s="46" t="s">
        <v>196</v>
      </c>
      <c r="B69" s="107" t="s">
        <v>299</v>
      </c>
      <c r="C69" s="107" t="s">
        <v>327</v>
      </c>
      <c r="D69" s="98">
        <v>9910022001</v>
      </c>
      <c r="E69" s="107" t="s">
        <v>329</v>
      </c>
      <c r="F69" s="348">
        <f>256831322.82+8500000+7900333.3+17528698.11</f>
        <v>290760354.23</v>
      </c>
      <c r="G69" s="348">
        <v>256831322.82</v>
      </c>
      <c r="H69" s="348">
        <v>256831322.82</v>
      </c>
    </row>
    <row r="70" spans="1:8" ht="33.75">
      <c r="A70" s="46" t="s">
        <v>328</v>
      </c>
      <c r="B70" s="107" t="s">
        <v>299</v>
      </c>
      <c r="C70" s="107" t="s">
        <v>327</v>
      </c>
      <c r="D70" s="98">
        <v>9910022001</v>
      </c>
      <c r="E70" s="107"/>
      <c r="F70" s="108">
        <f>SUM(F71:F73)</f>
        <v>49724991.93</v>
      </c>
      <c r="G70" s="108">
        <f>SUM(G71:G73)</f>
        <v>46041121</v>
      </c>
      <c r="H70" s="108">
        <f>SUM(H71:H73)</f>
        <v>46041121</v>
      </c>
    </row>
    <row r="71" spans="1:8" ht="84.75">
      <c r="A71" s="48" t="s">
        <v>186</v>
      </c>
      <c r="B71" s="107" t="s">
        <v>299</v>
      </c>
      <c r="C71" s="107" t="s">
        <v>327</v>
      </c>
      <c r="D71" s="98">
        <v>9910022001</v>
      </c>
      <c r="E71" s="107" t="s">
        <v>221</v>
      </c>
      <c r="F71" s="108">
        <f>42177697+3640484.45+784984.48-12600</f>
        <v>46590565.93</v>
      </c>
      <c r="G71" s="108">
        <v>42177697</v>
      </c>
      <c r="H71" s="108">
        <v>42177697</v>
      </c>
    </row>
    <row r="72" spans="1:8" ht="33.75">
      <c r="A72" s="48" t="s">
        <v>187</v>
      </c>
      <c r="B72" s="107" t="s">
        <v>299</v>
      </c>
      <c r="C72" s="107" t="s">
        <v>327</v>
      </c>
      <c r="D72" s="98">
        <v>9910022001</v>
      </c>
      <c r="E72" s="107" t="s">
        <v>244</v>
      </c>
      <c r="F72" s="109">
        <f>3863424-348500-818992+98384+198960+245000-103850</f>
        <v>3134426</v>
      </c>
      <c r="G72" s="109">
        <v>3863424</v>
      </c>
      <c r="H72" s="109">
        <v>3863424</v>
      </c>
    </row>
    <row r="73" spans="1:8" ht="16.5" hidden="1">
      <c r="A73" s="48" t="s">
        <v>189</v>
      </c>
      <c r="B73" s="107" t="s">
        <v>299</v>
      </c>
      <c r="C73" s="107" t="s">
        <v>327</v>
      </c>
      <c r="D73" s="98">
        <v>9910022001</v>
      </c>
      <c r="E73" s="107" t="s">
        <v>249</v>
      </c>
      <c r="F73" s="109"/>
      <c r="G73" s="109">
        <v>0</v>
      </c>
      <c r="H73" s="109">
        <v>0</v>
      </c>
    </row>
    <row r="74" spans="1:8" ht="33.75">
      <c r="A74" s="48" t="s">
        <v>304</v>
      </c>
      <c r="B74" s="107" t="s">
        <v>299</v>
      </c>
      <c r="C74" s="107" t="s">
        <v>327</v>
      </c>
      <c r="D74" s="98">
        <v>9910000000</v>
      </c>
      <c r="E74" s="98"/>
      <c r="F74" s="109">
        <f>F75+F76+F77</f>
        <v>12946059.98</v>
      </c>
      <c r="G74" s="109">
        <f>G75+G76+G77</f>
        <v>12971111.98</v>
      </c>
      <c r="H74" s="109">
        <f>H75+H76+H77</f>
        <v>12971111.98</v>
      </c>
    </row>
    <row r="75" spans="1:8" ht="84.75">
      <c r="A75" s="48" t="s">
        <v>186</v>
      </c>
      <c r="B75" s="107" t="s">
        <v>299</v>
      </c>
      <c r="C75" s="107" t="s">
        <v>327</v>
      </c>
      <c r="D75" s="98">
        <v>9910022001</v>
      </c>
      <c r="E75" s="98">
        <v>100</v>
      </c>
      <c r="F75" s="109">
        <f>9385978-2606442+183556</f>
        <v>6963092</v>
      </c>
      <c r="G75" s="109">
        <f>9385978-2606442</f>
        <v>6779536</v>
      </c>
      <c r="H75" s="109">
        <f>9385978-2606442</f>
        <v>6779536</v>
      </c>
    </row>
    <row r="76" spans="1:8" ht="33.75">
      <c r="A76" s="48" t="s">
        <v>187</v>
      </c>
      <c r="B76" s="107" t="s">
        <v>299</v>
      </c>
      <c r="C76" s="107" t="s">
        <v>327</v>
      </c>
      <c r="D76" s="98">
        <v>9910022001</v>
      </c>
      <c r="E76" s="98">
        <v>200</v>
      </c>
      <c r="F76" s="109">
        <f>5113285.98-126856-81752</f>
        <v>4904677.98</v>
      </c>
      <c r="G76" s="109">
        <v>5113285.98</v>
      </c>
      <c r="H76" s="109">
        <v>5113285.98</v>
      </c>
    </row>
    <row r="77" spans="1:8" ht="16.5">
      <c r="A77" s="46" t="s">
        <v>189</v>
      </c>
      <c r="B77" s="107" t="s">
        <v>299</v>
      </c>
      <c r="C77" s="107" t="s">
        <v>327</v>
      </c>
      <c r="D77" s="98">
        <v>9910022001</v>
      </c>
      <c r="E77" s="98">
        <v>800</v>
      </c>
      <c r="F77" s="109">
        <v>1078290</v>
      </c>
      <c r="G77" s="109">
        <v>1078290</v>
      </c>
      <c r="H77" s="109">
        <v>1078290</v>
      </c>
    </row>
    <row r="78" spans="1:8" ht="33.75">
      <c r="A78" s="48" t="s">
        <v>304</v>
      </c>
      <c r="B78" s="107" t="s">
        <v>299</v>
      </c>
      <c r="C78" s="107" t="s">
        <v>327</v>
      </c>
      <c r="D78" s="98">
        <v>9910000000</v>
      </c>
      <c r="E78" s="98"/>
      <c r="F78" s="109">
        <f>SUM(F79:F81)</f>
        <v>84465643.89999999</v>
      </c>
      <c r="G78" s="109">
        <f>SUM(G79:G81)</f>
        <v>83738935.3</v>
      </c>
      <c r="H78" s="109">
        <f>SUM(H79:H81)</f>
        <v>83738935.3</v>
      </c>
    </row>
    <row r="79" spans="1:8" ht="84.75">
      <c r="A79" s="48" t="s">
        <v>186</v>
      </c>
      <c r="B79" s="107" t="s">
        <v>299</v>
      </c>
      <c r="C79" s="107" t="s">
        <v>327</v>
      </c>
      <c r="D79" s="98">
        <v>9910022001</v>
      </c>
      <c r="E79" s="98">
        <v>100</v>
      </c>
      <c r="F79" s="109">
        <f>53864056.3+16266945+40000+100000+350000+4136800-3450.84+1734635.6</f>
        <v>76488986.05999999</v>
      </c>
      <c r="G79" s="109">
        <v>74757801.3</v>
      </c>
      <c r="H79" s="109">
        <v>74757801.3</v>
      </c>
    </row>
    <row r="80" spans="1:8" ht="33.75">
      <c r="A80" s="48" t="s">
        <v>187</v>
      </c>
      <c r="B80" s="107" t="s">
        <v>299</v>
      </c>
      <c r="C80" s="107" t="s">
        <v>327</v>
      </c>
      <c r="D80" s="98">
        <v>9910022001</v>
      </c>
      <c r="E80" s="98">
        <v>200</v>
      </c>
      <c r="F80" s="109">
        <f>8981134-1200000-1626594+1818667</f>
        <v>7973207</v>
      </c>
      <c r="G80" s="109">
        <v>8981134</v>
      </c>
      <c r="H80" s="109">
        <v>8981134</v>
      </c>
    </row>
    <row r="81" spans="1:8" ht="16.5">
      <c r="A81" s="48" t="s">
        <v>188</v>
      </c>
      <c r="B81" s="107" t="s">
        <v>299</v>
      </c>
      <c r="C81" s="107" t="s">
        <v>327</v>
      </c>
      <c r="D81" s="98">
        <v>9910022001</v>
      </c>
      <c r="E81" s="98">
        <v>300</v>
      </c>
      <c r="F81" s="109">
        <v>3450.84</v>
      </c>
      <c r="G81" s="109">
        <v>0</v>
      </c>
      <c r="H81" s="109">
        <v>0</v>
      </c>
    </row>
    <row r="82" spans="1:8" ht="16.5">
      <c r="A82" s="48" t="s">
        <v>322</v>
      </c>
      <c r="B82" s="107" t="s">
        <v>299</v>
      </c>
      <c r="C82" s="107" t="s">
        <v>327</v>
      </c>
      <c r="D82" s="107" t="s">
        <v>323</v>
      </c>
      <c r="E82" s="107"/>
      <c r="F82" s="108">
        <f>F85+F92+F90+F94+F83+F96</f>
        <v>105044961.67999998</v>
      </c>
      <c r="G82" s="108">
        <f>G85+G92+G90+G94+G83+G96</f>
        <v>5585380</v>
      </c>
      <c r="H82" s="108">
        <f>H85+H92+H90+H94+H83+H96</f>
        <v>5585380</v>
      </c>
    </row>
    <row r="83" spans="1:8" ht="51">
      <c r="A83" s="48" t="s">
        <v>330</v>
      </c>
      <c r="B83" s="107" t="s">
        <v>299</v>
      </c>
      <c r="C83" s="107" t="s">
        <v>327</v>
      </c>
      <c r="D83" s="107" t="s">
        <v>331</v>
      </c>
      <c r="E83" s="107"/>
      <c r="F83" s="108">
        <f>F84</f>
        <v>22228.88</v>
      </c>
      <c r="G83" s="108">
        <f>G84</f>
        <v>0</v>
      </c>
      <c r="H83" s="108">
        <f>H84</f>
        <v>0</v>
      </c>
    </row>
    <row r="84" spans="1:8" ht="16.5">
      <c r="A84" s="46" t="s">
        <v>189</v>
      </c>
      <c r="B84" s="107" t="s">
        <v>299</v>
      </c>
      <c r="C84" s="107" t="s">
        <v>327</v>
      </c>
      <c r="D84" s="107" t="s">
        <v>331</v>
      </c>
      <c r="E84" s="107" t="s">
        <v>223</v>
      </c>
      <c r="F84" s="108">
        <v>22228.88</v>
      </c>
      <c r="G84" s="108">
        <v>0</v>
      </c>
      <c r="H84" s="108">
        <v>0</v>
      </c>
    </row>
    <row r="85" spans="1:8" ht="33.75">
      <c r="A85" s="48" t="s">
        <v>332</v>
      </c>
      <c r="B85" s="107" t="s">
        <v>299</v>
      </c>
      <c r="C85" s="107" t="s">
        <v>327</v>
      </c>
      <c r="D85" s="107" t="s">
        <v>333</v>
      </c>
      <c r="E85" s="107"/>
      <c r="F85" s="108">
        <f>F86+F89+F88+F87</f>
        <v>79291033.08</v>
      </c>
      <c r="G85" s="108">
        <f>G86+G89+G88+G87</f>
        <v>5355500</v>
      </c>
      <c r="H85" s="108">
        <f>H86+H89+H88+H87</f>
        <v>5355500</v>
      </c>
    </row>
    <row r="86" spans="1:8" ht="33.75">
      <c r="A86" s="48" t="s">
        <v>187</v>
      </c>
      <c r="B86" s="107" t="s">
        <v>299</v>
      </c>
      <c r="C86" s="107" t="s">
        <v>327</v>
      </c>
      <c r="D86" s="107" t="s">
        <v>333</v>
      </c>
      <c r="E86" s="107" t="s">
        <v>244</v>
      </c>
      <c r="F86" s="109">
        <f>5355500+366465+800000-56700+281289.36+37718752.92+75000-505569.57</f>
        <v>44034737.71</v>
      </c>
      <c r="G86" s="109">
        <v>5355500</v>
      </c>
      <c r="H86" s="109">
        <v>5355500</v>
      </c>
    </row>
    <row r="87" spans="1:8" ht="16.5">
      <c r="A87" s="48" t="s">
        <v>188</v>
      </c>
      <c r="B87" s="107" t="s">
        <v>299</v>
      </c>
      <c r="C87" s="107" t="s">
        <v>327</v>
      </c>
      <c r="D87" s="107" t="s">
        <v>333</v>
      </c>
      <c r="E87" s="107" t="s">
        <v>249</v>
      </c>
      <c r="F87" s="109">
        <f>426460+660626.5-150000+1895010+203768</f>
        <v>3035864.5</v>
      </c>
      <c r="G87" s="109"/>
      <c r="H87" s="109"/>
    </row>
    <row r="88" spans="1:8" ht="33.75">
      <c r="A88" s="46" t="s">
        <v>196</v>
      </c>
      <c r="B88" s="107" t="s">
        <v>299</v>
      </c>
      <c r="C88" s="107" t="s">
        <v>327</v>
      </c>
      <c r="D88" s="107" t="s">
        <v>333</v>
      </c>
      <c r="E88" s="107" t="s">
        <v>329</v>
      </c>
      <c r="F88" s="109">
        <f>5000000-5000000+584704.8+814166.4+89083.2+472484.4+68256+897212.4+590300+392536.8+267706.8+1057731.6+1316250+99207.6+582319.2+816974.4+519482.4+714078+1506103.2+908760+1254745.52+1466300</f>
        <v>14418402.719999999</v>
      </c>
      <c r="G88" s="109">
        <v>0</v>
      </c>
      <c r="H88" s="109">
        <v>0</v>
      </c>
    </row>
    <row r="89" spans="1:8" ht="16.5">
      <c r="A89" s="46" t="s">
        <v>189</v>
      </c>
      <c r="B89" s="107" t="s">
        <v>299</v>
      </c>
      <c r="C89" s="107" t="s">
        <v>327</v>
      </c>
      <c r="D89" s="107" t="s">
        <v>333</v>
      </c>
      <c r="E89" s="107" t="s">
        <v>223</v>
      </c>
      <c r="F89" s="109">
        <f>10000000+50000+4798676.55+1000000+1953351.6</f>
        <v>17802028.150000002</v>
      </c>
      <c r="G89" s="109">
        <v>0</v>
      </c>
      <c r="H89" s="109">
        <v>0</v>
      </c>
    </row>
    <row r="90" spans="1:8" ht="33.75">
      <c r="A90" s="48" t="s">
        <v>332</v>
      </c>
      <c r="B90" s="107" t="s">
        <v>299</v>
      </c>
      <c r="C90" s="107" t="s">
        <v>327</v>
      </c>
      <c r="D90" s="107" t="s">
        <v>333</v>
      </c>
      <c r="E90" s="107"/>
      <c r="F90" s="109">
        <f>F91</f>
        <v>14592519.459999999</v>
      </c>
      <c r="G90" s="109">
        <f>G91</f>
        <v>0</v>
      </c>
      <c r="H90" s="109">
        <f>H91</f>
        <v>0</v>
      </c>
    </row>
    <row r="91" spans="1:8" ht="33.75">
      <c r="A91" s="48" t="s">
        <v>187</v>
      </c>
      <c r="B91" s="107" t="s">
        <v>299</v>
      </c>
      <c r="C91" s="107" t="s">
        <v>327</v>
      </c>
      <c r="D91" s="107" t="s">
        <v>333</v>
      </c>
      <c r="E91" s="107" t="s">
        <v>244</v>
      </c>
      <c r="F91" s="109">
        <f>100888.66+448562.4+14988841.2+2002143.6-2947916.4</f>
        <v>14592519.459999999</v>
      </c>
      <c r="G91" s="109">
        <v>0</v>
      </c>
      <c r="H91" s="109">
        <v>0</v>
      </c>
    </row>
    <row r="92" spans="1:8" ht="33.75">
      <c r="A92" s="48" t="s">
        <v>635</v>
      </c>
      <c r="B92" s="107" t="s">
        <v>299</v>
      </c>
      <c r="C92" s="107" t="s">
        <v>327</v>
      </c>
      <c r="D92" s="107" t="s">
        <v>634</v>
      </c>
      <c r="E92" s="107"/>
      <c r="F92" s="108">
        <f>F93</f>
        <v>229880</v>
      </c>
      <c r="G92" s="108">
        <f>G93</f>
        <v>229880</v>
      </c>
      <c r="H92" s="108">
        <f>H93</f>
        <v>229880</v>
      </c>
    </row>
    <row r="93" spans="1:8" ht="16.5">
      <c r="A93" s="48" t="s">
        <v>188</v>
      </c>
      <c r="B93" s="107" t="s">
        <v>299</v>
      </c>
      <c r="C93" s="107" t="s">
        <v>327</v>
      </c>
      <c r="D93" s="107" t="s">
        <v>634</v>
      </c>
      <c r="E93" s="107" t="s">
        <v>249</v>
      </c>
      <c r="F93" s="109">
        <v>229880</v>
      </c>
      <c r="G93" s="109">
        <v>229880</v>
      </c>
      <c r="H93" s="109">
        <v>229880</v>
      </c>
    </row>
    <row r="94" spans="1:8" ht="33.75">
      <c r="A94" s="48" t="s">
        <v>332</v>
      </c>
      <c r="B94" s="107" t="s">
        <v>299</v>
      </c>
      <c r="C94" s="107" t="s">
        <v>327</v>
      </c>
      <c r="D94" s="107" t="s">
        <v>333</v>
      </c>
      <c r="E94" s="107"/>
      <c r="F94" s="109">
        <f>F95</f>
        <v>10909300.259999996</v>
      </c>
      <c r="G94" s="109">
        <f>G95</f>
        <v>0</v>
      </c>
      <c r="H94" s="109">
        <f>H95</f>
        <v>0</v>
      </c>
    </row>
    <row r="95" spans="1:8" ht="16.5">
      <c r="A95" s="46" t="s">
        <v>189</v>
      </c>
      <c r="B95" s="107" t="s">
        <v>299</v>
      </c>
      <c r="C95" s="107" t="s">
        <v>327</v>
      </c>
      <c r="D95" s="107" t="s">
        <v>333</v>
      </c>
      <c r="E95" s="107" t="s">
        <v>223</v>
      </c>
      <c r="F95" s="109">
        <f>150000000-91062871.73-58078706.61+10050878.6</f>
        <v>10909300.259999996</v>
      </c>
      <c r="G95" s="109">
        <v>0</v>
      </c>
      <c r="H95" s="109">
        <v>0</v>
      </c>
    </row>
    <row r="96" spans="1:8" ht="33.75">
      <c r="A96" s="48" t="s">
        <v>332</v>
      </c>
      <c r="B96" s="107" t="s">
        <v>299</v>
      </c>
      <c r="C96" s="107" t="s">
        <v>327</v>
      </c>
      <c r="D96" s="107" t="s">
        <v>333</v>
      </c>
      <c r="E96" s="107"/>
      <c r="F96" s="109">
        <f>F97</f>
        <v>0</v>
      </c>
      <c r="G96" s="109">
        <f>G97</f>
        <v>0</v>
      </c>
      <c r="H96" s="109">
        <f>H97</f>
        <v>0</v>
      </c>
    </row>
    <row r="97" spans="1:8" ht="16.5">
      <c r="A97" s="46" t="s">
        <v>189</v>
      </c>
      <c r="B97" s="107" t="s">
        <v>299</v>
      </c>
      <c r="C97" s="107" t="s">
        <v>327</v>
      </c>
      <c r="D97" s="107" t="s">
        <v>333</v>
      </c>
      <c r="E97" s="107" t="s">
        <v>223</v>
      </c>
      <c r="F97" s="109">
        <f>39000000-39000000</f>
        <v>0</v>
      </c>
      <c r="G97" s="109">
        <v>0</v>
      </c>
      <c r="H97" s="109">
        <v>0</v>
      </c>
    </row>
    <row r="98" spans="1:32" s="103" customFormat="1" ht="33.75">
      <c r="A98" s="70" t="s">
        <v>334</v>
      </c>
      <c r="B98" s="105" t="s">
        <v>309</v>
      </c>
      <c r="C98" s="105"/>
      <c r="D98" s="101"/>
      <c r="E98" s="101"/>
      <c r="F98" s="111">
        <f aca="true" t="shared" si="5" ref="F98:H99">F99</f>
        <v>15019222.91</v>
      </c>
      <c r="G98" s="111">
        <f t="shared" si="5"/>
        <v>14655349</v>
      </c>
      <c r="H98" s="111">
        <f t="shared" si="5"/>
        <v>14655349</v>
      </c>
      <c r="I98" s="169"/>
      <c r="J98" s="302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4"/>
      <c r="V98" s="3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</row>
    <row r="99" spans="1:32" s="103" customFormat="1" ht="67.5">
      <c r="A99" s="70" t="s">
        <v>335</v>
      </c>
      <c r="B99" s="105" t="s">
        <v>309</v>
      </c>
      <c r="C99" s="105" t="s">
        <v>336</v>
      </c>
      <c r="D99" s="101"/>
      <c r="E99" s="101"/>
      <c r="F99" s="111">
        <f t="shared" si="5"/>
        <v>15019222.91</v>
      </c>
      <c r="G99" s="111">
        <f t="shared" si="5"/>
        <v>14655349</v>
      </c>
      <c r="H99" s="111">
        <f t="shared" si="5"/>
        <v>14655349</v>
      </c>
      <c r="I99" s="169"/>
      <c r="J99" s="302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4"/>
      <c r="V99" s="3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</row>
    <row r="100" spans="1:32" s="103" customFormat="1" ht="16.5">
      <c r="A100" s="66" t="s">
        <v>302</v>
      </c>
      <c r="B100" s="105" t="s">
        <v>309</v>
      </c>
      <c r="C100" s="105" t="s">
        <v>336</v>
      </c>
      <c r="D100" s="101">
        <v>9900000000</v>
      </c>
      <c r="E100" s="101"/>
      <c r="F100" s="111">
        <f>F101+F106</f>
        <v>15019222.91</v>
      </c>
      <c r="G100" s="111">
        <f>G101+G106</f>
        <v>14655349</v>
      </c>
      <c r="H100" s="111">
        <f>H101+H106</f>
        <v>14655349</v>
      </c>
      <c r="I100" s="169"/>
      <c r="J100" s="302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4"/>
      <c r="V100" s="3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</row>
    <row r="101" spans="1:8" ht="33.75">
      <c r="A101" s="48" t="s">
        <v>304</v>
      </c>
      <c r="B101" s="107" t="s">
        <v>309</v>
      </c>
      <c r="C101" s="107" t="s">
        <v>336</v>
      </c>
      <c r="D101" s="98">
        <v>9910000000</v>
      </c>
      <c r="E101" s="98"/>
      <c r="F101" s="109">
        <f>F102</f>
        <v>14019222.91</v>
      </c>
      <c r="G101" s="109">
        <f>G102</f>
        <v>13155349</v>
      </c>
      <c r="H101" s="109">
        <f>H102</f>
        <v>13155349</v>
      </c>
    </row>
    <row r="102" spans="1:8" ht="33.75">
      <c r="A102" s="46" t="s">
        <v>328</v>
      </c>
      <c r="B102" s="107" t="s">
        <v>309</v>
      </c>
      <c r="C102" s="107" t="s">
        <v>336</v>
      </c>
      <c r="D102" s="98">
        <v>9910022001</v>
      </c>
      <c r="E102" s="98"/>
      <c r="F102" s="109">
        <f>SUM(F103:F105)</f>
        <v>14019222.91</v>
      </c>
      <c r="G102" s="109">
        <f>SUM(G103:G105)</f>
        <v>13155349</v>
      </c>
      <c r="H102" s="109">
        <f>SUM(H103:H105)</f>
        <v>13155349</v>
      </c>
    </row>
    <row r="103" spans="1:8" ht="84.75">
      <c r="A103" s="48" t="s">
        <v>186</v>
      </c>
      <c r="B103" s="107" t="s">
        <v>309</v>
      </c>
      <c r="C103" s="107" t="s">
        <v>336</v>
      </c>
      <c r="D103" s="98">
        <v>9910022001</v>
      </c>
      <c r="E103" s="107" t="s">
        <v>221</v>
      </c>
      <c r="F103" s="109">
        <f>9415554+615441.32+612181.59</f>
        <v>10643176.91</v>
      </c>
      <c r="G103" s="109">
        <v>9415554</v>
      </c>
      <c r="H103" s="109">
        <v>9415554</v>
      </c>
    </row>
    <row r="104" spans="1:8" ht="33.75">
      <c r="A104" s="48" t="s">
        <v>187</v>
      </c>
      <c r="B104" s="107" t="s">
        <v>309</v>
      </c>
      <c r="C104" s="107" t="s">
        <v>336</v>
      </c>
      <c r="D104" s="98">
        <v>9910022001</v>
      </c>
      <c r="E104" s="107" t="s">
        <v>244</v>
      </c>
      <c r="F104" s="109">
        <f>3738715-49749-314000</f>
        <v>3374966</v>
      </c>
      <c r="G104" s="109">
        <v>3738715</v>
      </c>
      <c r="H104" s="109">
        <v>3738715</v>
      </c>
    </row>
    <row r="105" spans="1:8" ht="16.5">
      <c r="A105" s="48" t="s">
        <v>189</v>
      </c>
      <c r="B105" s="107" t="s">
        <v>309</v>
      </c>
      <c r="C105" s="107" t="s">
        <v>336</v>
      </c>
      <c r="D105" s="98">
        <v>9910022001</v>
      </c>
      <c r="E105" s="98">
        <v>800</v>
      </c>
      <c r="F105" s="109">
        <v>1080</v>
      </c>
      <c r="G105" s="109">
        <v>1080</v>
      </c>
      <c r="H105" s="109">
        <v>1080</v>
      </c>
    </row>
    <row r="106" spans="1:8" ht="16.5">
      <c r="A106" s="48" t="s">
        <v>322</v>
      </c>
      <c r="B106" s="107" t="s">
        <v>309</v>
      </c>
      <c r="C106" s="107" t="s">
        <v>336</v>
      </c>
      <c r="D106" s="98">
        <v>9950000000</v>
      </c>
      <c r="E106" s="98"/>
      <c r="F106" s="109">
        <f aca="true" t="shared" si="6" ref="F106:H107">F107</f>
        <v>1000000</v>
      </c>
      <c r="G106" s="109">
        <f t="shared" si="6"/>
        <v>1500000</v>
      </c>
      <c r="H106" s="109">
        <f t="shared" si="6"/>
        <v>1500000</v>
      </c>
    </row>
    <row r="107" spans="1:8" ht="51">
      <c r="A107" s="48" t="s">
        <v>337</v>
      </c>
      <c r="B107" s="107" t="s">
        <v>309</v>
      </c>
      <c r="C107" s="107" t="s">
        <v>336</v>
      </c>
      <c r="D107" s="112" t="s">
        <v>338</v>
      </c>
      <c r="E107" s="98"/>
      <c r="F107" s="109">
        <f t="shared" si="6"/>
        <v>1000000</v>
      </c>
      <c r="G107" s="109">
        <f t="shared" si="6"/>
        <v>1500000</v>
      </c>
      <c r="H107" s="109">
        <f t="shared" si="6"/>
        <v>1500000</v>
      </c>
    </row>
    <row r="108" spans="1:8" ht="33.75">
      <c r="A108" s="48" t="s">
        <v>187</v>
      </c>
      <c r="B108" s="107" t="s">
        <v>309</v>
      </c>
      <c r="C108" s="107" t="s">
        <v>336</v>
      </c>
      <c r="D108" s="112" t="s">
        <v>338</v>
      </c>
      <c r="E108" s="98">
        <v>200</v>
      </c>
      <c r="F108" s="109">
        <v>1000000</v>
      </c>
      <c r="G108" s="109">
        <v>1500000</v>
      </c>
      <c r="H108" s="109">
        <v>1500000</v>
      </c>
    </row>
    <row r="109" spans="1:8" ht="16.5">
      <c r="A109" s="70" t="s">
        <v>339</v>
      </c>
      <c r="B109" s="105" t="s">
        <v>313</v>
      </c>
      <c r="C109" s="105"/>
      <c r="D109" s="113"/>
      <c r="E109" s="101"/>
      <c r="F109" s="111">
        <f>F110+F115+F124</f>
        <v>38128670.760000005</v>
      </c>
      <c r="G109" s="111">
        <f>G110+G115+G124</f>
        <v>5815942.65</v>
      </c>
      <c r="H109" s="111">
        <f>H110+H115+H124</f>
        <v>5815942.65</v>
      </c>
    </row>
    <row r="110" spans="1:8" ht="16.5">
      <c r="A110" s="70" t="s">
        <v>340</v>
      </c>
      <c r="B110" s="105" t="s">
        <v>313</v>
      </c>
      <c r="C110" s="105" t="s">
        <v>299</v>
      </c>
      <c r="D110" s="113"/>
      <c r="E110" s="101"/>
      <c r="F110" s="111">
        <f aca="true" t="shared" si="7" ref="F110:H113">F111</f>
        <v>305784.54999999993</v>
      </c>
      <c r="G110" s="111">
        <f t="shared" si="7"/>
        <v>847554.33</v>
      </c>
      <c r="H110" s="111">
        <f t="shared" si="7"/>
        <v>847554.33</v>
      </c>
    </row>
    <row r="111" spans="1:8" ht="16.5">
      <c r="A111" s="70" t="s">
        <v>302</v>
      </c>
      <c r="B111" s="105" t="s">
        <v>313</v>
      </c>
      <c r="C111" s="105" t="s">
        <v>299</v>
      </c>
      <c r="D111" s="113">
        <v>9900000000</v>
      </c>
      <c r="E111" s="101"/>
      <c r="F111" s="111">
        <f t="shared" si="7"/>
        <v>305784.54999999993</v>
      </c>
      <c r="G111" s="111">
        <f t="shared" si="7"/>
        <v>847554.33</v>
      </c>
      <c r="H111" s="111">
        <f t="shared" si="7"/>
        <v>847554.33</v>
      </c>
    </row>
    <row r="112" spans="1:8" ht="33.75">
      <c r="A112" s="48" t="s">
        <v>304</v>
      </c>
      <c r="B112" s="107" t="s">
        <v>313</v>
      </c>
      <c r="C112" s="107" t="s">
        <v>299</v>
      </c>
      <c r="D112" s="112" t="s">
        <v>305</v>
      </c>
      <c r="E112" s="98"/>
      <c r="F112" s="109">
        <f t="shared" si="7"/>
        <v>305784.54999999993</v>
      </c>
      <c r="G112" s="109">
        <f t="shared" si="7"/>
        <v>847554.33</v>
      </c>
      <c r="H112" s="109">
        <f t="shared" si="7"/>
        <v>847554.33</v>
      </c>
    </row>
    <row r="113" spans="1:8" ht="33.75">
      <c r="A113" s="48" t="s">
        <v>314</v>
      </c>
      <c r="B113" s="107" t="s">
        <v>313</v>
      </c>
      <c r="C113" s="107" t="s">
        <v>299</v>
      </c>
      <c r="D113" s="112" t="s">
        <v>315</v>
      </c>
      <c r="E113" s="98"/>
      <c r="F113" s="109">
        <f t="shared" si="7"/>
        <v>305784.54999999993</v>
      </c>
      <c r="G113" s="109">
        <f t="shared" si="7"/>
        <v>847554.33</v>
      </c>
      <c r="H113" s="109">
        <f t="shared" si="7"/>
        <v>847554.33</v>
      </c>
    </row>
    <row r="114" spans="1:8" ht="84.75">
      <c r="A114" s="48" t="s">
        <v>186</v>
      </c>
      <c r="B114" s="107" t="s">
        <v>313</v>
      </c>
      <c r="C114" s="107" t="s">
        <v>299</v>
      </c>
      <c r="D114" s="112" t="s">
        <v>315</v>
      </c>
      <c r="E114" s="98">
        <v>100</v>
      </c>
      <c r="F114" s="109">
        <f>847554.33-545280.15+3510.37</f>
        <v>305784.54999999993</v>
      </c>
      <c r="G114" s="109">
        <v>847554.33</v>
      </c>
      <c r="H114" s="109">
        <v>847554.33</v>
      </c>
    </row>
    <row r="115" spans="1:8" ht="16.5">
      <c r="A115" s="70" t="s">
        <v>341</v>
      </c>
      <c r="B115" s="105" t="s">
        <v>313</v>
      </c>
      <c r="C115" s="105" t="s">
        <v>342</v>
      </c>
      <c r="D115" s="113"/>
      <c r="E115" s="101"/>
      <c r="F115" s="111">
        <f>F116</f>
        <v>23822886.21</v>
      </c>
      <c r="G115" s="111">
        <f aca="true" t="shared" si="8" ref="F115:H118">G116</f>
        <v>4968388.32</v>
      </c>
      <c r="H115" s="111">
        <f t="shared" si="8"/>
        <v>4968388.32</v>
      </c>
    </row>
    <row r="116" spans="1:8" ht="16.5">
      <c r="A116" s="70" t="s">
        <v>302</v>
      </c>
      <c r="B116" s="105" t="s">
        <v>313</v>
      </c>
      <c r="C116" s="105" t="s">
        <v>342</v>
      </c>
      <c r="D116" s="113">
        <v>9900000000</v>
      </c>
      <c r="E116" s="101"/>
      <c r="F116" s="111">
        <f>F117+F120</f>
        <v>23822886.21</v>
      </c>
      <c r="G116" s="111">
        <f>G117+G120</f>
        <v>4968388.32</v>
      </c>
      <c r="H116" s="111">
        <f>H117+H120</f>
        <v>4968388.32</v>
      </c>
    </row>
    <row r="117" spans="1:8" ht="33.75">
      <c r="A117" s="48" t="s">
        <v>304</v>
      </c>
      <c r="B117" s="107" t="s">
        <v>313</v>
      </c>
      <c r="C117" s="107" t="s">
        <v>342</v>
      </c>
      <c r="D117" s="112" t="s">
        <v>305</v>
      </c>
      <c r="E117" s="98"/>
      <c r="F117" s="109">
        <f t="shared" si="8"/>
        <v>5343610.99</v>
      </c>
      <c r="G117" s="109">
        <f t="shared" si="8"/>
        <v>4968388.32</v>
      </c>
      <c r="H117" s="109">
        <f t="shared" si="8"/>
        <v>4968388.32</v>
      </c>
    </row>
    <row r="118" spans="1:8" ht="33.75">
      <c r="A118" s="48" t="s">
        <v>328</v>
      </c>
      <c r="B118" s="107" t="s">
        <v>313</v>
      </c>
      <c r="C118" s="107" t="s">
        <v>342</v>
      </c>
      <c r="D118" s="112" t="s">
        <v>343</v>
      </c>
      <c r="E118" s="98"/>
      <c r="F118" s="109">
        <f t="shared" si="8"/>
        <v>5343610.99</v>
      </c>
      <c r="G118" s="109">
        <f t="shared" si="8"/>
        <v>4968388.32</v>
      </c>
      <c r="H118" s="109">
        <f t="shared" si="8"/>
        <v>4968388.32</v>
      </c>
    </row>
    <row r="119" spans="1:8" ht="84.75">
      <c r="A119" s="48" t="s">
        <v>186</v>
      </c>
      <c r="B119" s="107" t="s">
        <v>313</v>
      </c>
      <c r="C119" s="107" t="s">
        <v>342</v>
      </c>
      <c r="D119" s="112" t="s">
        <v>343</v>
      </c>
      <c r="E119" s="98">
        <v>100</v>
      </c>
      <c r="F119" s="109">
        <f>4968388.32+375222.67</f>
        <v>5343610.99</v>
      </c>
      <c r="G119" s="109">
        <v>4968388.32</v>
      </c>
      <c r="H119" s="109">
        <v>4968388.32</v>
      </c>
    </row>
    <row r="120" spans="1:8" ht="16.5">
      <c r="A120" s="48" t="s">
        <v>322</v>
      </c>
      <c r="B120" s="107" t="s">
        <v>313</v>
      </c>
      <c r="C120" s="107" t="s">
        <v>342</v>
      </c>
      <c r="D120" s="112" t="s">
        <v>323</v>
      </c>
      <c r="E120" s="98"/>
      <c r="F120" s="109">
        <f>F121</f>
        <v>18479275.22</v>
      </c>
      <c r="G120" s="109">
        <f>G121</f>
        <v>0</v>
      </c>
      <c r="H120" s="109">
        <f>H121</f>
        <v>0</v>
      </c>
    </row>
    <row r="121" spans="1:8" ht="33.75">
      <c r="A121" s="48" t="s">
        <v>332</v>
      </c>
      <c r="B121" s="107" t="s">
        <v>313</v>
      </c>
      <c r="C121" s="107" t="s">
        <v>342</v>
      </c>
      <c r="D121" s="112" t="s">
        <v>333</v>
      </c>
      <c r="E121" s="98"/>
      <c r="F121" s="109">
        <f>F123+F122</f>
        <v>18479275.22</v>
      </c>
      <c r="G121" s="109">
        <f>G123</f>
        <v>0</v>
      </c>
      <c r="H121" s="109">
        <f>H123</f>
        <v>0</v>
      </c>
    </row>
    <row r="122" spans="1:8" ht="16.5">
      <c r="A122" s="48" t="s">
        <v>188</v>
      </c>
      <c r="B122" s="107" t="s">
        <v>313</v>
      </c>
      <c r="C122" s="107" t="s">
        <v>342</v>
      </c>
      <c r="D122" s="112" t="s">
        <v>333</v>
      </c>
      <c r="E122" s="98">
        <v>300</v>
      </c>
      <c r="F122" s="109">
        <v>460000</v>
      </c>
      <c r="G122" s="109">
        <v>0</v>
      </c>
      <c r="H122" s="109">
        <v>0</v>
      </c>
    </row>
    <row r="123" spans="1:8" ht="16.5">
      <c r="A123" s="46" t="s">
        <v>189</v>
      </c>
      <c r="B123" s="107" t="s">
        <v>313</v>
      </c>
      <c r="C123" s="107" t="s">
        <v>342</v>
      </c>
      <c r="D123" s="112" t="s">
        <v>333</v>
      </c>
      <c r="E123" s="98">
        <v>800</v>
      </c>
      <c r="F123" s="109">
        <f>4800731.99+8450000+4768543.23</f>
        <v>18019275.22</v>
      </c>
      <c r="G123" s="109">
        <v>0</v>
      </c>
      <c r="H123" s="109">
        <v>0</v>
      </c>
    </row>
    <row r="124" spans="1:8" ht="16.5">
      <c r="A124" s="70" t="s">
        <v>344</v>
      </c>
      <c r="B124" s="105" t="s">
        <v>313</v>
      </c>
      <c r="C124" s="105" t="s">
        <v>336</v>
      </c>
      <c r="D124" s="113"/>
      <c r="E124" s="101"/>
      <c r="F124" s="111">
        <f>F125</f>
        <v>14000000</v>
      </c>
      <c r="G124" s="111">
        <f aca="true" t="shared" si="9" ref="G124:H127">G125</f>
        <v>0</v>
      </c>
      <c r="H124" s="111">
        <f t="shared" si="9"/>
        <v>0</v>
      </c>
    </row>
    <row r="125" spans="1:8" ht="16.5">
      <c r="A125" s="70" t="s">
        <v>302</v>
      </c>
      <c r="B125" s="105" t="s">
        <v>313</v>
      </c>
      <c r="C125" s="105" t="s">
        <v>336</v>
      </c>
      <c r="D125" s="113" t="s">
        <v>303</v>
      </c>
      <c r="E125" s="101"/>
      <c r="F125" s="111">
        <f>F126</f>
        <v>14000000</v>
      </c>
      <c r="G125" s="111">
        <f t="shared" si="9"/>
        <v>0</v>
      </c>
      <c r="H125" s="111">
        <f t="shared" si="9"/>
        <v>0</v>
      </c>
    </row>
    <row r="126" spans="1:8" ht="16.5">
      <c r="A126" s="48" t="s">
        <v>322</v>
      </c>
      <c r="B126" s="107" t="s">
        <v>313</v>
      </c>
      <c r="C126" s="107" t="s">
        <v>336</v>
      </c>
      <c r="D126" s="112" t="s">
        <v>323</v>
      </c>
      <c r="E126" s="98"/>
      <c r="F126" s="109">
        <f>F127</f>
        <v>14000000</v>
      </c>
      <c r="G126" s="109">
        <f t="shared" si="9"/>
        <v>0</v>
      </c>
      <c r="H126" s="109">
        <f t="shared" si="9"/>
        <v>0</v>
      </c>
    </row>
    <row r="127" spans="1:8" ht="33.75">
      <c r="A127" s="48" t="s">
        <v>332</v>
      </c>
      <c r="B127" s="107" t="s">
        <v>313</v>
      </c>
      <c r="C127" s="107" t="s">
        <v>336</v>
      </c>
      <c r="D127" s="112" t="s">
        <v>333</v>
      </c>
      <c r="E127" s="98"/>
      <c r="F127" s="109">
        <f>F128</f>
        <v>14000000</v>
      </c>
      <c r="G127" s="109">
        <f t="shared" si="9"/>
        <v>0</v>
      </c>
      <c r="H127" s="109">
        <f t="shared" si="9"/>
        <v>0</v>
      </c>
    </row>
    <row r="128" spans="1:8" ht="33.75">
      <c r="A128" s="48" t="s">
        <v>187</v>
      </c>
      <c r="B128" s="107" t="s">
        <v>313</v>
      </c>
      <c r="C128" s="107" t="s">
        <v>336</v>
      </c>
      <c r="D128" s="112" t="s">
        <v>333</v>
      </c>
      <c r="E128" s="98">
        <v>200</v>
      </c>
      <c r="F128" s="109">
        <v>14000000</v>
      </c>
      <c r="G128" s="109">
        <v>0</v>
      </c>
      <c r="H128" s="109">
        <v>0</v>
      </c>
    </row>
    <row r="129" spans="1:32" s="103" customFormat="1" ht="16.5">
      <c r="A129" s="70" t="s">
        <v>345</v>
      </c>
      <c r="B129" s="105" t="s">
        <v>342</v>
      </c>
      <c r="C129" s="105"/>
      <c r="D129" s="113"/>
      <c r="E129" s="101"/>
      <c r="F129" s="111">
        <f>F136+F130</f>
        <v>9810436.8</v>
      </c>
      <c r="G129" s="111">
        <f>G136+G130</f>
        <v>0</v>
      </c>
      <c r="H129" s="111">
        <f>H136+H130</f>
        <v>0</v>
      </c>
      <c r="I129" s="169"/>
      <c r="J129" s="302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4"/>
      <c r="V129" s="3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</row>
    <row r="130" spans="1:32" s="103" customFormat="1" ht="16.5" hidden="1">
      <c r="A130" s="70" t="s">
        <v>346</v>
      </c>
      <c r="B130" s="105" t="s">
        <v>342</v>
      </c>
      <c r="C130" s="105" t="s">
        <v>299</v>
      </c>
      <c r="D130" s="113"/>
      <c r="E130" s="101"/>
      <c r="F130" s="111">
        <f>F131</f>
        <v>0</v>
      </c>
      <c r="G130" s="111">
        <f aca="true" t="shared" si="10" ref="G130:H132">G131</f>
        <v>0</v>
      </c>
      <c r="H130" s="111">
        <f t="shared" si="10"/>
        <v>0</v>
      </c>
      <c r="I130" s="169"/>
      <c r="J130" s="302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4"/>
      <c r="V130" s="3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</row>
    <row r="131" spans="1:32" s="103" customFormat="1" ht="16.5" hidden="1">
      <c r="A131" s="70" t="s">
        <v>302</v>
      </c>
      <c r="B131" s="105" t="s">
        <v>342</v>
      </c>
      <c r="C131" s="105" t="s">
        <v>299</v>
      </c>
      <c r="D131" s="113" t="s">
        <v>303</v>
      </c>
      <c r="E131" s="101"/>
      <c r="F131" s="111">
        <f>F132</f>
        <v>0</v>
      </c>
      <c r="G131" s="111">
        <f t="shared" si="10"/>
        <v>0</v>
      </c>
      <c r="H131" s="111">
        <f t="shared" si="10"/>
        <v>0</v>
      </c>
      <c r="I131" s="169"/>
      <c r="J131" s="302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4"/>
      <c r="V131" s="3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</row>
    <row r="132" spans="1:32" s="103" customFormat="1" ht="16.5" hidden="1">
      <c r="A132" s="48" t="s">
        <v>322</v>
      </c>
      <c r="B132" s="107" t="s">
        <v>342</v>
      </c>
      <c r="C132" s="107" t="s">
        <v>299</v>
      </c>
      <c r="D132" s="112" t="s">
        <v>323</v>
      </c>
      <c r="E132" s="98"/>
      <c r="F132" s="109">
        <f>F133</f>
        <v>0</v>
      </c>
      <c r="G132" s="109">
        <f t="shared" si="10"/>
        <v>0</v>
      </c>
      <c r="H132" s="109">
        <f t="shared" si="10"/>
        <v>0</v>
      </c>
      <c r="I132" s="169"/>
      <c r="J132" s="302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4"/>
      <c r="V132" s="3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</row>
    <row r="133" spans="1:32" s="103" customFormat="1" ht="16.5" hidden="1">
      <c r="A133" s="48" t="s">
        <v>347</v>
      </c>
      <c r="B133" s="107" t="s">
        <v>342</v>
      </c>
      <c r="C133" s="107" t="s">
        <v>299</v>
      </c>
      <c r="D133" s="112" t="s">
        <v>348</v>
      </c>
      <c r="E133" s="98"/>
      <c r="F133" s="109">
        <f>F134+F135</f>
        <v>0</v>
      </c>
      <c r="G133" s="109">
        <f>G134+G135</f>
        <v>0</v>
      </c>
      <c r="H133" s="109">
        <f>H134+H135</f>
        <v>0</v>
      </c>
      <c r="I133" s="169"/>
      <c r="J133" s="302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4"/>
      <c r="V133" s="3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1:32" s="103" customFormat="1" ht="33.75" hidden="1">
      <c r="A134" s="48" t="s">
        <v>187</v>
      </c>
      <c r="B134" s="107" t="s">
        <v>342</v>
      </c>
      <c r="C134" s="107" t="s">
        <v>299</v>
      </c>
      <c r="D134" s="112" t="s">
        <v>348</v>
      </c>
      <c r="E134" s="98">
        <v>200</v>
      </c>
      <c r="F134" s="109">
        <f>18218243-1821800-16396443</f>
        <v>0</v>
      </c>
      <c r="G134" s="109">
        <v>0</v>
      </c>
      <c r="H134" s="109">
        <v>0</v>
      </c>
      <c r="I134" s="169"/>
      <c r="J134" s="302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4"/>
      <c r="V134" s="3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</row>
    <row r="135" spans="1:32" s="103" customFormat="1" ht="33.75" hidden="1">
      <c r="A135" s="46" t="s">
        <v>196</v>
      </c>
      <c r="B135" s="107" t="s">
        <v>342</v>
      </c>
      <c r="C135" s="107" t="s">
        <v>299</v>
      </c>
      <c r="D135" s="112" t="s">
        <v>348</v>
      </c>
      <c r="E135" s="98">
        <v>600</v>
      </c>
      <c r="F135" s="109">
        <v>0</v>
      </c>
      <c r="G135" s="109">
        <v>0</v>
      </c>
      <c r="H135" s="109">
        <v>0</v>
      </c>
      <c r="I135" s="169"/>
      <c r="J135" s="302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4"/>
      <c r="V135" s="3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</row>
    <row r="136" spans="1:32" s="103" customFormat="1" ht="16.5">
      <c r="A136" s="70" t="s">
        <v>349</v>
      </c>
      <c r="B136" s="105" t="s">
        <v>342</v>
      </c>
      <c r="C136" s="105" t="s">
        <v>309</v>
      </c>
      <c r="D136" s="113"/>
      <c r="E136" s="101"/>
      <c r="F136" s="111">
        <f>F137</f>
        <v>9810436.8</v>
      </c>
      <c r="G136" s="111">
        <f aca="true" t="shared" si="11" ref="G136:H139">G137</f>
        <v>0</v>
      </c>
      <c r="H136" s="111">
        <f t="shared" si="11"/>
        <v>0</v>
      </c>
      <c r="I136" s="169"/>
      <c r="J136" s="302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4"/>
      <c r="V136" s="3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</row>
    <row r="137" spans="1:32" s="103" customFormat="1" ht="16.5">
      <c r="A137" s="70" t="s">
        <v>302</v>
      </c>
      <c r="B137" s="105" t="s">
        <v>342</v>
      </c>
      <c r="C137" s="105" t="s">
        <v>309</v>
      </c>
      <c r="D137" s="113" t="s">
        <v>303</v>
      </c>
      <c r="E137" s="101"/>
      <c r="F137" s="111">
        <f>F138</f>
        <v>9810436.8</v>
      </c>
      <c r="G137" s="111">
        <f t="shared" si="11"/>
        <v>0</v>
      </c>
      <c r="H137" s="111">
        <f t="shared" si="11"/>
        <v>0</v>
      </c>
      <c r="I137" s="169"/>
      <c r="J137" s="302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4"/>
      <c r="V137" s="3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</row>
    <row r="138" spans="1:8" ht="16.5">
      <c r="A138" s="48" t="s">
        <v>322</v>
      </c>
      <c r="B138" s="107" t="s">
        <v>342</v>
      </c>
      <c r="C138" s="107" t="s">
        <v>309</v>
      </c>
      <c r="D138" s="112" t="s">
        <v>323</v>
      </c>
      <c r="E138" s="98"/>
      <c r="F138" s="109">
        <f>F139</f>
        <v>9810436.8</v>
      </c>
      <c r="G138" s="109">
        <f t="shared" si="11"/>
        <v>0</v>
      </c>
      <c r="H138" s="109">
        <f t="shared" si="11"/>
        <v>0</v>
      </c>
    </row>
    <row r="139" spans="1:8" ht="16.5">
      <c r="A139" s="48" t="s">
        <v>350</v>
      </c>
      <c r="B139" s="107" t="s">
        <v>342</v>
      </c>
      <c r="C139" s="107" t="s">
        <v>309</v>
      </c>
      <c r="D139" s="112" t="s">
        <v>351</v>
      </c>
      <c r="E139" s="98"/>
      <c r="F139" s="109">
        <f>F140</f>
        <v>9810436.8</v>
      </c>
      <c r="G139" s="109">
        <f t="shared" si="11"/>
        <v>0</v>
      </c>
      <c r="H139" s="109">
        <f t="shared" si="11"/>
        <v>0</v>
      </c>
    </row>
    <row r="140" spans="1:8" ht="33.75">
      <c r="A140" s="48" t="s">
        <v>212</v>
      </c>
      <c r="B140" s="107" t="s">
        <v>342</v>
      </c>
      <c r="C140" s="107" t="s">
        <v>309</v>
      </c>
      <c r="D140" s="112" t="s">
        <v>351</v>
      </c>
      <c r="E140" s="98">
        <v>400</v>
      </c>
      <c r="F140" s="109">
        <v>9810436.8</v>
      </c>
      <c r="G140" s="109">
        <v>0</v>
      </c>
      <c r="H140" s="109">
        <v>0</v>
      </c>
    </row>
    <row r="141" spans="1:32" s="103" customFormat="1" ht="16.5">
      <c r="A141" s="66" t="s">
        <v>352</v>
      </c>
      <c r="B141" s="105" t="s">
        <v>353</v>
      </c>
      <c r="C141" s="105"/>
      <c r="D141" s="113"/>
      <c r="E141" s="101"/>
      <c r="F141" s="111">
        <f>F148+F142+F160+F155</f>
        <v>70216214.08999999</v>
      </c>
      <c r="G141" s="111">
        <f>G148+G142+G160</f>
        <v>0</v>
      </c>
      <c r="H141" s="111">
        <f>H148+H142+H160</f>
        <v>0</v>
      </c>
      <c r="I141" s="169"/>
      <c r="J141" s="302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4"/>
      <c r="V141" s="3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1:32" s="103" customFormat="1" ht="16.5">
      <c r="A142" s="66" t="s">
        <v>354</v>
      </c>
      <c r="B142" s="105" t="s">
        <v>353</v>
      </c>
      <c r="C142" s="105" t="s">
        <v>299</v>
      </c>
      <c r="D142" s="113"/>
      <c r="E142" s="101"/>
      <c r="F142" s="111">
        <f>F143</f>
        <v>11955164</v>
      </c>
      <c r="G142" s="111">
        <f aca="true" t="shared" si="12" ref="G142:H144">G143</f>
        <v>0</v>
      </c>
      <c r="H142" s="111">
        <f t="shared" si="12"/>
        <v>0</v>
      </c>
      <c r="I142" s="169"/>
      <c r="J142" s="302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4"/>
      <c r="V142" s="3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1:32" s="103" customFormat="1" ht="16.5">
      <c r="A143" s="70" t="s">
        <v>302</v>
      </c>
      <c r="B143" s="105" t="s">
        <v>353</v>
      </c>
      <c r="C143" s="105" t="s">
        <v>299</v>
      </c>
      <c r="D143" s="113" t="s">
        <v>303</v>
      </c>
      <c r="E143" s="101"/>
      <c r="F143" s="111">
        <f>F144</f>
        <v>11955164</v>
      </c>
      <c r="G143" s="111">
        <f t="shared" si="12"/>
        <v>0</v>
      </c>
      <c r="H143" s="111">
        <f t="shared" si="12"/>
        <v>0</v>
      </c>
      <c r="I143" s="169"/>
      <c r="J143" s="302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4"/>
      <c r="V143" s="3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</row>
    <row r="144" spans="1:32" s="103" customFormat="1" ht="16.5">
      <c r="A144" s="48" t="s">
        <v>322</v>
      </c>
      <c r="B144" s="107" t="s">
        <v>353</v>
      </c>
      <c r="C144" s="107" t="s">
        <v>299</v>
      </c>
      <c r="D144" s="112" t="s">
        <v>323</v>
      </c>
      <c r="E144" s="98"/>
      <c r="F144" s="109">
        <f>F145</f>
        <v>11955164</v>
      </c>
      <c r="G144" s="109">
        <f t="shared" si="12"/>
        <v>0</v>
      </c>
      <c r="H144" s="109">
        <f t="shared" si="12"/>
        <v>0</v>
      </c>
      <c r="I144" s="169"/>
      <c r="J144" s="302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4"/>
      <c r="V144" s="3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</row>
    <row r="145" spans="1:32" s="103" customFormat="1" ht="33.75">
      <c r="A145" s="48" t="s">
        <v>332</v>
      </c>
      <c r="B145" s="107" t="s">
        <v>353</v>
      </c>
      <c r="C145" s="107" t="s">
        <v>299</v>
      </c>
      <c r="D145" s="112" t="s">
        <v>333</v>
      </c>
      <c r="E145" s="98"/>
      <c r="F145" s="109">
        <f>F147+F146</f>
        <v>11955164</v>
      </c>
      <c r="G145" s="109">
        <f>G147+G146</f>
        <v>0</v>
      </c>
      <c r="H145" s="109">
        <f>H147+H146</f>
        <v>0</v>
      </c>
      <c r="I145" s="169"/>
      <c r="J145" s="302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4"/>
      <c r="V145" s="3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</row>
    <row r="146" spans="1:32" s="103" customFormat="1" ht="33.75">
      <c r="A146" s="48" t="s">
        <v>187</v>
      </c>
      <c r="B146" s="107" t="s">
        <v>353</v>
      </c>
      <c r="C146" s="107" t="s">
        <v>299</v>
      </c>
      <c r="D146" s="112" t="s">
        <v>333</v>
      </c>
      <c r="E146" s="98">
        <v>200</v>
      </c>
      <c r="F146" s="109">
        <f>1735272+2036838</f>
        <v>3772110</v>
      </c>
      <c r="G146" s="109">
        <v>0</v>
      </c>
      <c r="H146" s="109">
        <v>0</v>
      </c>
      <c r="I146" s="169"/>
      <c r="J146" s="302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4"/>
      <c r="V146" s="3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</row>
    <row r="147" spans="1:32" s="103" customFormat="1" ht="16.5">
      <c r="A147" s="48" t="s">
        <v>189</v>
      </c>
      <c r="B147" s="107" t="s">
        <v>353</v>
      </c>
      <c r="C147" s="107" t="s">
        <v>299</v>
      </c>
      <c r="D147" s="112" t="s">
        <v>333</v>
      </c>
      <c r="E147" s="98">
        <v>800</v>
      </c>
      <c r="F147" s="109">
        <f>8917739-734685</f>
        <v>8183054</v>
      </c>
      <c r="G147" s="109">
        <v>0</v>
      </c>
      <c r="H147" s="109">
        <v>0</v>
      </c>
      <c r="I147" s="169"/>
      <c r="J147" s="302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4"/>
      <c r="V147" s="3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1:32" s="103" customFormat="1" ht="16.5">
      <c r="A148" s="66" t="s">
        <v>355</v>
      </c>
      <c r="B148" s="105" t="s">
        <v>353</v>
      </c>
      <c r="C148" s="105" t="s">
        <v>301</v>
      </c>
      <c r="D148" s="113"/>
      <c r="E148" s="101"/>
      <c r="F148" s="111">
        <f>F149</f>
        <v>58071912.22999998</v>
      </c>
      <c r="G148" s="111">
        <f aca="true" t="shared" si="13" ref="G148:H150">G149</f>
        <v>0</v>
      </c>
      <c r="H148" s="111">
        <f t="shared" si="13"/>
        <v>0</v>
      </c>
      <c r="I148" s="169"/>
      <c r="J148" s="302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4"/>
      <c r="V148" s="3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1:32" s="103" customFormat="1" ht="16.5">
      <c r="A149" s="70" t="s">
        <v>302</v>
      </c>
      <c r="B149" s="105" t="s">
        <v>353</v>
      </c>
      <c r="C149" s="105" t="s">
        <v>301</v>
      </c>
      <c r="D149" s="113" t="s">
        <v>303</v>
      </c>
      <c r="E149" s="101"/>
      <c r="F149" s="111">
        <f>F150</f>
        <v>58071912.22999998</v>
      </c>
      <c r="G149" s="111">
        <f t="shared" si="13"/>
        <v>0</v>
      </c>
      <c r="H149" s="111">
        <f t="shared" si="13"/>
        <v>0</v>
      </c>
      <c r="I149" s="169"/>
      <c r="J149" s="302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4"/>
      <c r="V149" s="3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1:8" ht="16.5">
      <c r="A150" s="48" t="s">
        <v>322</v>
      </c>
      <c r="B150" s="107" t="s">
        <v>353</v>
      </c>
      <c r="C150" s="107" t="s">
        <v>301</v>
      </c>
      <c r="D150" s="112" t="s">
        <v>323</v>
      </c>
      <c r="E150" s="98"/>
      <c r="F150" s="109">
        <f>F151</f>
        <v>58071912.22999998</v>
      </c>
      <c r="G150" s="109">
        <f t="shared" si="13"/>
        <v>0</v>
      </c>
      <c r="H150" s="109">
        <f t="shared" si="13"/>
        <v>0</v>
      </c>
    </row>
    <row r="151" spans="1:8" ht="33.75">
      <c r="A151" s="48" t="s">
        <v>332</v>
      </c>
      <c r="B151" s="107" t="s">
        <v>353</v>
      </c>
      <c r="C151" s="107" t="s">
        <v>301</v>
      </c>
      <c r="D151" s="112" t="s">
        <v>333</v>
      </c>
      <c r="E151" s="98"/>
      <c r="F151" s="109">
        <f>SUM(F152:F154)</f>
        <v>58071912.22999998</v>
      </c>
      <c r="G151" s="109">
        <f>SUM(G152:G154)</f>
        <v>0</v>
      </c>
      <c r="H151" s="109">
        <f>SUM(H152:H154)</f>
        <v>0</v>
      </c>
    </row>
    <row r="152" spans="1:8" ht="33.75">
      <c r="A152" s="48" t="s">
        <v>187</v>
      </c>
      <c r="B152" s="107" t="s">
        <v>353</v>
      </c>
      <c r="C152" s="107" t="s">
        <v>301</v>
      </c>
      <c r="D152" s="112" t="s">
        <v>333</v>
      </c>
      <c r="E152" s="98">
        <v>200</v>
      </c>
      <c r="F152" s="109">
        <f>825493.2+680610+416025.6+943222.8+433294.8+2845783.2+189972.28-1506103.2+2947916.4</f>
        <v>7776215.08</v>
      </c>
      <c r="G152" s="109">
        <v>0</v>
      </c>
      <c r="H152" s="109">
        <v>0</v>
      </c>
    </row>
    <row r="153" spans="1:8" ht="33.75" hidden="1">
      <c r="A153" s="48" t="s">
        <v>264</v>
      </c>
      <c r="B153" s="107" t="s">
        <v>353</v>
      </c>
      <c r="C153" s="107" t="s">
        <v>301</v>
      </c>
      <c r="D153" s="112" t="s">
        <v>333</v>
      </c>
      <c r="E153" s="98">
        <v>400</v>
      </c>
      <c r="F153" s="109">
        <v>0</v>
      </c>
      <c r="G153" s="109">
        <v>0</v>
      </c>
      <c r="H153" s="109">
        <v>0</v>
      </c>
    </row>
    <row r="154" spans="1:8" ht="33.75">
      <c r="A154" s="46" t="s">
        <v>196</v>
      </c>
      <c r="B154" s="107" t="s">
        <v>353</v>
      </c>
      <c r="C154" s="107" t="s">
        <v>301</v>
      </c>
      <c r="D154" s="112" t="s">
        <v>333</v>
      </c>
      <c r="E154" s="98">
        <v>600</v>
      </c>
      <c r="F154" s="109">
        <f>24344016+2341273.2+447306+517561+738904.8+1063270.8+6314829.6+2997580.8+358232.4+8357284.8+56700+376255.2+19693551.1-19693551.1+2006945.83+375536.72</f>
        <v>50295697.14999998</v>
      </c>
      <c r="G154" s="109">
        <v>0</v>
      </c>
      <c r="H154" s="109">
        <v>0</v>
      </c>
    </row>
    <row r="155" spans="1:8" ht="16.5">
      <c r="A155" s="66" t="s">
        <v>356</v>
      </c>
      <c r="B155" s="105" t="s">
        <v>353</v>
      </c>
      <c r="C155" s="105" t="s">
        <v>309</v>
      </c>
      <c r="D155" s="113"/>
      <c r="E155" s="101"/>
      <c r="F155" s="111">
        <f>F156</f>
        <v>189137.86</v>
      </c>
      <c r="G155" s="111">
        <f aca="true" t="shared" si="14" ref="G155:H158">G156</f>
        <v>0</v>
      </c>
      <c r="H155" s="111">
        <f t="shared" si="14"/>
        <v>0</v>
      </c>
    </row>
    <row r="156" spans="1:8" ht="16.5">
      <c r="A156" s="70" t="s">
        <v>302</v>
      </c>
      <c r="B156" s="105" t="s">
        <v>353</v>
      </c>
      <c r="C156" s="105" t="s">
        <v>309</v>
      </c>
      <c r="D156" s="113" t="s">
        <v>303</v>
      </c>
      <c r="E156" s="101"/>
      <c r="F156" s="111">
        <f>F157</f>
        <v>189137.86</v>
      </c>
      <c r="G156" s="111">
        <f t="shared" si="14"/>
        <v>0</v>
      </c>
      <c r="H156" s="111">
        <f t="shared" si="14"/>
        <v>0</v>
      </c>
    </row>
    <row r="157" spans="1:8" ht="16.5">
      <c r="A157" s="48" t="s">
        <v>322</v>
      </c>
      <c r="B157" s="107" t="s">
        <v>353</v>
      </c>
      <c r="C157" s="107" t="s">
        <v>309</v>
      </c>
      <c r="D157" s="112" t="s">
        <v>323</v>
      </c>
      <c r="E157" s="98"/>
      <c r="F157" s="109">
        <f>F158</f>
        <v>189137.86</v>
      </c>
      <c r="G157" s="109">
        <f t="shared" si="14"/>
        <v>0</v>
      </c>
      <c r="H157" s="109">
        <f t="shared" si="14"/>
        <v>0</v>
      </c>
    </row>
    <row r="158" spans="1:8" ht="33.75">
      <c r="A158" s="48" t="s">
        <v>332</v>
      </c>
      <c r="B158" s="107" t="s">
        <v>353</v>
      </c>
      <c r="C158" s="107" t="s">
        <v>309</v>
      </c>
      <c r="D158" s="112" t="s">
        <v>333</v>
      </c>
      <c r="E158" s="98"/>
      <c r="F158" s="109">
        <f>F159</f>
        <v>189137.86</v>
      </c>
      <c r="G158" s="109">
        <f t="shared" si="14"/>
        <v>0</v>
      </c>
      <c r="H158" s="109">
        <f t="shared" si="14"/>
        <v>0</v>
      </c>
    </row>
    <row r="159" spans="1:8" ht="33.75">
      <c r="A159" s="48" t="s">
        <v>187</v>
      </c>
      <c r="B159" s="107" t="s">
        <v>353</v>
      </c>
      <c r="C159" s="107" t="s">
        <v>309</v>
      </c>
      <c r="D159" s="112" t="s">
        <v>333</v>
      </c>
      <c r="E159" s="98">
        <v>200</v>
      </c>
      <c r="F159" s="109">
        <f>149137.86+40000</f>
        <v>189137.86</v>
      </c>
      <c r="G159" s="109">
        <v>0</v>
      </c>
      <c r="H159" s="109">
        <v>0</v>
      </c>
    </row>
    <row r="160" spans="1:8" ht="16.5" hidden="1">
      <c r="A160" s="66" t="s">
        <v>357</v>
      </c>
      <c r="B160" s="105" t="s">
        <v>353</v>
      </c>
      <c r="C160" s="105" t="s">
        <v>358</v>
      </c>
      <c r="D160" s="113"/>
      <c r="E160" s="101"/>
      <c r="F160" s="111">
        <f>F161</f>
        <v>0</v>
      </c>
      <c r="G160" s="111">
        <f aca="true" t="shared" si="15" ref="G160:H163">G161</f>
        <v>0</v>
      </c>
      <c r="H160" s="111">
        <f t="shared" si="15"/>
        <v>0</v>
      </c>
    </row>
    <row r="161" spans="1:8" ht="16.5" hidden="1">
      <c r="A161" s="70" t="s">
        <v>302</v>
      </c>
      <c r="B161" s="105" t="s">
        <v>353</v>
      </c>
      <c r="C161" s="105" t="s">
        <v>358</v>
      </c>
      <c r="D161" s="113" t="s">
        <v>303</v>
      </c>
      <c r="E161" s="101"/>
      <c r="F161" s="111">
        <f>F162</f>
        <v>0</v>
      </c>
      <c r="G161" s="111">
        <f t="shared" si="15"/>
        <v>0</v>
      </c>
      <c r="H161" s="111">
        <f t="shared" si="15"/>
        <v>0</v>
      </c>
    </row>
    <row r="162" spans="1:8" ht="16.5" hidden="1">
      <c r="A162" s="48" t="s">
        <v>322</v>
      </c>
      <c r="B162" s="107" t="s">
        <v>353</v>
      </c>
      <c r="C162" s="107" t="s">
        <v>358</v>
      </c>
      <c r="D162" s="112" t="s">
        <v>323</v>
      </c>
      <c r="E162" s="98"/>
      <c r="F162" s="109">
        <f>F163</f>
        <v>0</v>
      </c>
      <c r="G162" s="109">
        <f t="shared" si="15"/>
        <v>0</v>
      </c>
      <c r="H162" s="109">
        <f t="shared" si="15"/>
        <v>0</v>
      </c>
    </row>
    <row r="163" spans="1:8" ht="33.75" hidden="1">
      <c r="A163" s="48" t="s">
        <v>332</v>
      </c>
      <c r="B163" s="107" t="s">
        <v>353</v>
      </c>
      <c r="C163" s="107" t="s">
        <v>358</v>
      </c>
      <c r="D163" s="112" t="s">
        <v>333</v>
      </c>
      <c r="E163" s="98"/>
      <c r="F163" s="109">
        <f>F164</f>
        <v>0</v>
      </c>
      <c r="G163" s="109">
        <f t="shared" si="15"/>
        <v>0</v>
      </c>
      <c r="H163" s="109">
        <f t="shared" si="15"/>
        <v>0</v>
      </c>
    </row>
    <row r="164" spans="1:8" ht="33.75" hidden="1">
      <c r="A164" s="48" t="s">
        <v>187</v>
      </c>
      <c r="B164" s="107" t="s">
        <v>353</v>
      </c>
      <c r="C164" s="107" t="s">
        <v>358</v>
      </c>
      <c r="D164" s="112" t="s">
        <v>333</v>
      </c>
      <c r="E164" s="98">
        <v>200</v>
      </c>
      <c r="F164" s="109">
        <v>0</v>
      </c>
      <c r="G164" s="109">
        <v>0</v>
      </c>
      <c r="H164" s="109">
        <v>0</v>
      </c>
    </row>
    <row r="165" spans="1:8" ht="16.5">
      <c r="A165" s="66" t="s">
        <v>359</v>
      </c>
      <c r="B165" s="105" t="s">
        <v>360</v>
      </c>
      <c r="C165" s="105"/>
      <c r="D165" s="112"/>
      <c r="E165" s="98"/>
      <c r="F165" s="111">
        <f>F166</f>
        <v>0</v>
      </c>
      <c r="G165" s="111">
        <f aca="true" t="shared" si="16" ref="G165:H169">G166</f>
        <v>900000</v>
      </c>
      <c r="H165" s="111">
        <f t="shared" si="16"/>
        <v>900000</v>
      </c>
    </row>
    <row r="166" spans="1:8" ht="16.5">
      <c r="A166" s="66" t="s">
        <v>361</v>
      </c>
      <c r="B166" s="105" t="s">
        <v>360</v>
      </c>
      <c r="C166" s="105" t="s">
        <v>299</v>
      </c>
      <c r="D166" s="112"/>
      <c r="E166" s="98"/>
      <c r="F166" s="111">
        <f>F167</f>
        <v>0</v>
      </c>
      <c r="G166" s="111">
        <f t="shared" si="16"/>
        <v>900000</v>
      </c>
      <c r="H166" s="111">
        <f t="shared" si="16"/>
        <v>900000</v>
      </c>
    </row>
    <row r="167" spans="1:8" ht="16.5">
      <c r="A167" s="70" t="s">
        <v>302</v>
      </c>
      <c r="B167" s="105" t="s">
        <v>360</v>
      </c>
      <c r="C167" s="105" t="s">
        <v>299</v>
      </c>
      <c r="D167" s="113" t="s">
        <v>303</v>
      </c>
      <c r="E167" s="101"/>
      <c r="F167" s="111">
        <f>F168</f>
        <v>0</v>
      </c>
      <c r="G167" s="111">
        <f t="shared" si="16"/>
        <v>900000</v>
      </c>
      <c r="H167" s="111">
        <f t="shared" si="16"/>
        <v>900000</v>
      </c>
    </row>
    <row r="168" spans="1:8" ht="16.5">
      <c r="A168" s="48" t="s">
        <v>322</v>
      </c>
      <c r="B168" s="107" t="s">
        <v>360</v>
      </c>
      <c r="C168" s="107" t="s">
        <v>299</v>
      </c>
      <c r="D168" s="112" t="s">
        <v>323</v>
      </c>
      <c r="E168" s="98"/>
      <c r="F168" s="109">
        <f>F169</f>
        <v>0</v>
      </c>
      <c r="G168" s="109">
        <f t="shared" si="16"/>
        <v>900000</v>
      </c>
      <c r="H168" s="109">
        <f t="shared" si="16"/>
        <v>900000</v>
      </c>
    </row>
    <row r="169" spans="1:8" ht="16.5">
      <c r="A169" s="48" t="s">
        <v>387</v>
      </c>
      <c r="B169" s="107" t="s">
        <v>360</v>
      </c>
      <c r="C169" s="107" t="s">
        <v>299</v>
      </c>
      <c r="D169" s="112" t="s">
        <v>386</v>
      </c>
      <c r="E169" s="98"/>
      <c r="F169" s="109">
        <f>F170</f>
        <v>0</v>
      </c>
      <c r="G169" s="109">
        <f t="shared" si="16"/>
        <v>900000</v>
      </c>
      <c r="H169" s="109">
        <f t="shared" si="16"/>
        <v>900000</v>
      </c>
    </row>
    <row r="170" spans="1:8" ht="33.75">
      <c r="A170" s="48" t="s">
        <v>187</v>
      </c>
      <c r="B170" s="107" t="s">
        <v>360</v>
      </c>
      <c r="C170" s="107" t="s">
        <v>299</v>
      </c>
      <c r="D170" s="112" t="s">
        <v>386</v>
      </c>
      <c r="E170" s="98">
        <v>200</v>
      </c>
      <c r="F170" s="109">
        <v>0</v>
      </c>
      <c r="G170" s="109">
        <v>900000</v>
      </c>
      <c r="H170" s="109">
        <v>900000</v>
      </c>
    </row>
    <row r="171" spans="1:32" s="103" customFormat="1" ht="16.5" hidden="1">
      <c r="A171" s="66" t="s">
        <v>362</v>
      </c>
      <c r="B171" s="105" t="s">
        <v>358</v>
      </c>
      <c r="C171" s="105"/>
      <c r="D171" s="113"/>
      <c r="E171" s="101"/>
      <c r="F171" s="111">
        <f>F172</f>
        <v>0</v>
      </c>
      <c r="G171" s="111">
        <f aca="true" t="shared" si="17" ref="G171:H175">G172</f>
        <v>0</v>
      </c>
      <c r="H171" s="111">
        <f t="shared" si="17"/>
        <v>0</v>
      </c>
      <c r="I171" s="169"/>
      <c r="J171" s="302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4"/>
      <c r="V171" s="3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1:32" s="103" customFormat="1" ht="16.5" hidden="1">
      <c r="A172" s="66" t="s">
        <v>363</v>
      </c>
      <c r="B172" s="105" t="s">
        <v>358</v>
      </c>
      <c r="C172" s="105" t="s">
        <v>358</v>
      </c>
      <c r="D172" s="113"/>
      <c r="E172" s="101"/>
      <c r="F172" s="111">
        <f>F173</f>
        <v>0</v>
      </c>
      <c r="G172" s="111">
        <f t="shared" si="17"/>
        <v>0</v>
      </c>
      <c r="H172" s="111">
        <f t="shared" si="17"/>
        <v>0</v>
      </c>
      <c r="I172" s="169"/>
      <c r="J172" s="302"/>
      <c r="K172" s="303"/>
      <c r="L172" s="303"/>
      <c r="M172" s="303"/>
      <c r="N172" s="303"/>
      <c r="O172" s="303"/>
      <c r="P172" s="303"/>
      <c r="Q172" s="303"/>
      <c r="R172" s="303"/>
      <c r="S172" s="303"/>
      <c r="T172" s="303"/>
      <c r="U172" s="304"/>
      <c r="V172" s="3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1:32" s="103" customFormat="1" ht="16.5" hidden="1">
      <c r="A173" s="70" t="s">
        <v>302</v>
      </c>
      <c r="B173" s="105" t="s">
        <v>358</v>
      </c>
      <c r="C173" s="105" t="s">
        <v>358</v>
      </c>
      <c r="D173" s="113" t="s">
        <v>303</v>
      </c>
      <c r="E173" s="101"/>
      <c r="F173" s="111">
        <f>F174</f>
        <v>0</v>
      </c>
      <c r="G173" s="111">
        <f t="shared" si="17"/>
        <v>0</v>
      </c>
      <c r="H173" s="111">
        <f t="shared" si="17"/>
        <v>0</v>
      </c>
      <c r="I173" s="169"/>
      <c r="J173" s="302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4"/>
      <c r="V173" s="3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</row>
    <row r="174" spans="1:8" ht="16.5" hidden="1">
      <c r="A174" s="48" t="s">
        <v>322</v>
      </c>
      <c r="B174" s="107" t="s">
        <v>358</v>
      </c>
      <c r="C174" s="107" t="s">
        <v>358</v>
      </c>
      <c r="D174" s="112" t="s">
        <v>323</v>
      </c>
      <c r="E174" s="98"/>
      <c r="F174" s="109">
        <f>F175</f>
        <v>0</v>
      </c>
      <c r="G174" s="109">
        <f t="shared" si="17"/>
        <v>0</v>
      </c>
      <c r="H174" s="109">
        <f t="shared" si="17"/>
        <v>0</v>
      </c>
    </row>
    <row r="175" spans="1:8" ht="33.75" hidden="1">
      <c r="A175" s="48" t="s">
        <v>332</v>
      </c>
      <c r="B175" s="107" t="s">
        <v>358</v>
      </c>
      <c r="C175" s="107" t="s">
        <v>358</v>
      </c>
      <c r="D175" s="112" t="s">
        <v>333</v>
      </c>
      <c r="E175" s="98"/>
      <c r="F175" s="109">
        <f>F176</f>
        <v>0</v>
      </c>
      <c r="G175" s="109">
        <f t="shared" si="17"/>
        <v>0</v>
      </c>
      <c r="H175" s="109">
        <f t="shared" si="17"/>
        <v>0</v>
      </c>
    </row>
    <row r="176" spans="1:8" ht="33.75" hidden="1">
      <c r="A176" s="48" t="s">
        <v>187</v>
      </c>
      <c r="B176" s="107" t="s">
        <v>358</v>
      </c>
      <c r="C176" s="107" t="s">
        <v>358</v>
      </c>
      <c r="D176" s="112" t="s">
        <v>333</v>
      </c>
      <c r="E176" s="98">
        <v>200</v>
      </c>
      <c r="F176" s="109">
        <v>0</v>
      </c>
      <c r="G176" s="109">
        <v>0</v>
      </c>
      <c r="H176" s="109">
        <v>0</v>
      </c>
    </row>
    <row r="177" spans="1:32" s="103" customFormat="1" ht="16.5">
      <c r="A177" s="70" t="s">
        <v>364</v>
      </c>
      <c r="B177" s="105" t="s">
        <v>336</v>
      </c>
      <c r="C177" s="105"/>
      <c r="D177" s="105"/>
      <c r="E177" s="105"/>
      <c r="F177" s="106">
        <f>F178+F183+F191+F198</f>
        <v>58312420.36</v>
      </c>
      <c r="G177" s="106">
        <f>G178+G183+G191+G198</f>
        <v>21346438.03</v>
      </c>
      <c r="H177" s="106">
        <f>H178+H183+H191+H198</f>
        <v>21346438.03</v>
      </c>
      <c r="I177" s="169"/>
      <c r="J177" s="302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4"/>
      <c r="V177" s="3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</row>
    <row r="178" spans="1:32" s="103" customFormat="1" ht="16.5">
      <c r="A178" s="70" t="s">
        <v>365</v>
      </c>
      <c r="B178" s="105" t="s">
        <v>336</v>
      </c>
      <c r="C178" s="105" t="s">
        <v>299</v>
      </c>
      <c r="D178" s="105"/>
      <c r="E178" s="105"/>
      <c r="F178" s="106">
        <f aca="true" t="shared" si="18" ref="F178:H181">F179</f>
        <v>4392396.68</v>
      </c>
      <c r="G178" s="106">
        <f t="shared" si="18"/>
        <v>3872922</v>
      </c>
      <c r="H178" s="106">
        <f t="shared" si="18"/>
        <v>3872922</v>
      </c>
      <c r="I178" s="169"/>
      <c r="J178" s="302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4"/>
      <c r="V178" s="3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</row>
    <row r="179" spans="1:32" s="103" customFormat="1" ht="16.5">
      <c r="A179" s="70" t="s">
        <v>302</v>
      </c>
      <c r="B179" s="105" t="s">
        <v>336</v>
      </c>
      <c r="C179" s="105" t="s">
        <v>299</v>
      </c>
      <c r="D179" s="105" t="s">
        <v>303</v>
      </c>
      <c r="E179" s="105"/>
      <c r="F179" s="106">
        <f t="shared" si="18"/>
        <v>4392396.68</v>
      </c>
      <c r="G179" s="106">
        <f t="shared" si="18"/>
        <v>3872922</v>
      </c>
      <c r="H179" s="106">
        <f t="shared" si="18"/>
        <v>3872922</v>
      </c>
      <c r="I179" s="169"/>
      <c r="J179" s="302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4"/>
      <c r="V179" s="3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1:8" ht="16.5">
      <c r="A180" s="48" t="s">
        <v>322</v>
      </c>
      <c r="B180" s="107" t="s">
        <v>336</v>
      </c>
      <c r="C180" s="107" t="s">
        <v>299</v>
      </c>
      <c r="D180" s="107" t="s">
        <v>323</v>
      </c>
      <c r="E180" s="107"/>
      <c r="F180" s="108">
        <f>F181</f>
        <v>4392396.68</v>
      </c>
      <c r="G180" s="108">
        <f t="shared" si="18"/>
        <v>3872922</v>
      </c>
      <c r="H180" s="108">
        <f t="shared" si="18"/>
        <v>3872922</v>
      </c>
    </row>
    <row r="181" spans="1:8" ht="51">
      <c r="A181" s="114" t="s">
        <v>636</v>
      </c>
      <c r="B181" s="107" t="s">
        <v>336</v>
      </c>
      <c r="C181" s="107" t="s">
        <v>299</v>
      </c>
      <c r="D181" s="107" t="s">
        <v>637</v>
      </c>
      <c r="E181" s="107"/>
      <c r="F181" s="108">
        <f t="shared" si="18"/>
        <v>4392396.68</v>
      </c>
      <c r="G181" s="108">
        <f t="shared" si="18"/>
        <v>3872922</v>
      </c>
      <c r="H181" s="108">
        <f t="shared" si="18"/>
        <v>3872922</v>
      </c>
    </row>
    <row r="182" spans="1:8" ht="16.5">
      <c r="A182" s="48" t="s">
        <v>188</v>
      </c>
      <c r="B182" s="107" t="s">
        <v>336</v>
      </c>
      <c r="C182" s="107" t="s">
        <v>299</v>
      </c>
      <c r="D182" s="107" t="s">
        <v>637</v>
      </c>
      <c r="E182" s="107" t="s">
        <v>249</v>
      </c>
      <c r="F182" s="109">
        <f>3872922+519474.68</f>
        <v>4392396.68</v>
      </c>
      <c r="G182" s="109">
        <v>3872922</v>
      </c>
      <c r="H182" s="109">
        <v>3872922</v>
      </c>
    </row>
    <row r="183" spans="1:8" ht="16.5">
      <c r="A183" s="70" t="s">
        <v>366</v>
      </c>
      <c r="B183" s="105" t="s">
        <v>336</v>
      </c>
      <c r="C183" s="105" t="s">
        <v>309</v>
      </c>
      <c r="D183" s="105"/>
      <c r="E183" s="105"/>
      <c r="F183" s="106">
        <f aca="true" t="shared" si="19" ref="F183:H184">F184</f>
        <v>29826711.990000002</v>
      </c>
      <c r="G183" s="106">
        <f t="shared" si="19"/>
        <v>0</v>
      </c>
      <c r="H183" s="106">
        <f t="shared" si="19"/>
        <v>0</v>
      </c>
    </row>
    <row r="184" spans="1:8" ht="16.5">
      <c r="A184" s="70" t="s">
        <v>302</v>
      </c>
      <c r="B184" s="105" t="s">
        <v>336</v>
      </c>
      <c r="C184" s="105" t="s">
        <v>309</v>
      </c>
      <c r="D184" s="105" t="s">
        <v>303</v>
      </c>
      <c r="E184" s="105"/>
      <c r="F184" s="106">
        <f t="shared" si="19"/>
        <v>29826711.990000002</v>
      </c>
      <c r="G184" s="106">
        <f t="shared" si="19"/>
        <v>0</v>
      </c>
      <c r="H184" s="106">
        <f t="shared" si="19"/>
        <v>0</v>
      </c>
    </row>
    <row r="185" spans="1:8" ht="16.5">
      <c r="A185" s="48" t="s">
        <v>322</v>
      </c>
      <c r="B185" s="107" t="s">
        <v>336</v>
      </c>
      <c r="C185" s="107" t="s">
        <v>309</v>
      </c>
      <c r="D185" s="107" t="s">
        <v>323</v>
      </c>
      <c r="E185" s="107"/>
      <c r="F185" s="108">
        <f>F186+F189</f>
        <v>29826711.990000002</v>
      </c>
      <c r="G185" s="108">
        <f>G186+G189</f>
        <v>0</v>
      </c>
      <c r="H185" s="108">
        <f>H186+H189</f>
        <v>0</v>
      </c>
    </row>
    <row r="186" spans="1:8" ht="33.75">
      <c r="A186" s="48" t="s">
        <v>367</v>
      </c>
      <c r="B186" s="107" t="s">
        <v>336</v>
      </c>
      <c r="C186" s="107" t="s">
        <v>309</v>
      </c>
      <c r="D186" s="107" t="s">
        <v>368</v>
      </c>
      <c r="E186" s="107"/>
      <c r="F186" s="108">
        <f>F188+F187</f>
        <v>29826711.990000002</v>
      </c>
      <c r="G186" s="108">
        <f>G188+G187</f>
        <v>0</v>
      </c>
      <c r="H186" s="108">
        <f>H188+H187</f>
        <v>0</v>
      </c>
    </row>
    <row r="187" spans="1:8" ht="33.75">
      <c r="A187" s="48" t="s">
        <v>187</v>
      </c>
      <c r="B187" s="107" t="s">
        <v>336</v>
      </c>
      <c r="C187" s="107" t="s">
        <v>309</v>
      </c>
      <c r="D187" s="107" t="s">
        <v>368</v>
      </c>
      <c r="E187" s="107" t="s">
        <v>244</v>
      </c>
      <c r="F187" s="108">
        <v>3050171.99</v>
      </c>
      <c r="G187" s="108">
        <v>0</v>
      </c>
      <c r="H187" s="108">
        <v>0</v>
      </c>
    </row>
    <row r="188" spans="1:8" ht="33.75">
      <c r="A188" s="48" t="s">
        <v>212</v>
      </c>
      <c r="B188" s="107" t="s">
        <v>336</v>
      </c>
      <c r="C188" s="107" t="s">
        <v>309</v>
      </c>
      <c r="D188" s="107" t="s">
        <v>368</v>
      </c>
      <c r="E188" s="107" t="s">
        <v>258</v>
      </c>
      <c r="F188" s="109">
        <f>22638740+4137800</f>
        <v>26776540</v>
      </c>
      <c r="G188" s="109">
        <v>0</v>
      </c>
      <c r="H188" s="109">
        <v>0</v>
      </c>
    </row>
    <row r="189" spans="1:8" ht="33.75" hidden="1">
      <c r="A189" s="48" t="s">
        <v>332</v>
      </c>
      <c r="B189" s="107" t="s">
        <v>336</v>
      </c>
      <c r="C189" s="107" t="s">
        <v>309</v>
      </c>
      <c r="D189" s="112" t="s">
        <v>333</v>
      </c>
      <c r="E189" s="98"/>
      <c r="F189" s="109">
        <f>F190</f>
        <v>0</v>
      </c>
      <c r="G189" s="109">
        <f>G190</f>
        <v>0</v>
      </c>
      <c r="H189" s="109">
        <f>H190</f>
        <v>0</v>
      </c>
    </row>
    <row r="190" spans="1:8" ht="33.75" hidden="1">
      <c r="A190" s="48" t="s">
        <v>187</v>
      </c>
      <c r="B190" s="107" t="s">
        <v>336</v>
      </c>
      <c r="C190" s="107" t="s">
        <v>309</v>
      </c>
      <c r="D190" s="112" t="s">
        <v>333</v>
      </c>
      <c r="E190" s="98">
        <v>200</v>
      </c>
      <c r="F190" s="109">
        <v>0</v>
      </c>
      <c r="G190" s="109">
        <v>0</v>
      </c>
      <c r="H190" s="109">
        <v>0</v>
      </c>
    </row>
    <row r="191" spans="1:8" ht="16.5">
      <c r="A191" s="70" t="s">
        <v>369</v>
      </c>
      <c r="B191" s="105" t="s">
        <v>336</v>
      </c>
      <c r="C191" s="105" t="s">
        <v>313</v>
      </c>
      <c r="D191" s="105"/>
      <c r="E191" s="105"/>
      <c r="F191" s="106">
        <f aca="true" t="shared" si="20" ref="F191:H193">F192</f>
        <v>16165600</v>
      </c>
      <c r="G191" s="106">
        <f t="shared" si="20"/>
        <v>13500000</v>
      </c>
      <c r="H191" s="106">
        <f t="shared" si="20"/>
        <v>13500000</v>
      </c>
    </row>
    <row r="192" spans="1:8" ht="16.5">
      <c r="A192" s="70" t="s">
        <v>302</v>
      </c>
      <c r="B192" s="105" t="s">
        <v>336</v>
      </c>
      <c r="C192" s="105" t="s">
        <v>313</v>
      </c>
      <c r="D192" s="105" t="s">
        <v>303</v>
      </c>
      <c r="E192" s="105"/>
      <c r="F192" s="106">
        <f t="shared" si="20"/>
        <v>16165600</v>
      </c>
      <c r="G192" s="106">
        <f t="shared" si="20"/>
        <v>13500000</v>
      </c>
      <c r="H192" s="106">
        <f t="shared" si="20"/>
        <v>13500000</v>
      </c>
    </row>
    <row r="193" spans="1:8" ht="16.5">
      <c r="A193" s="48" t="s">
        <v>322</v>
      </c>
      <c r="B193" s="107" t="s">
        <v>336</v>
      </c>
      <c r="C193" s="107" t="s">
        <v>313</v>
      </c>
      <c r="D193" s="107" t="s">
        <v>323</v>
      </c>
      <c r="E193" s="107"/>
      <c r="F193" s="108">
        <f>F194</f>
        <v>16165600</v>
      </c>
      <c r="G193" s="108">
        <f t="shared" si="20"/>
        <v>13500000</v>
      </c>
      <c r="H193" s="108">
        <f t="shared" si="20"/>
        <v>13500000</v>
      </c>
    </row>
    <row r="194" spans="1:8" ht="33.75">
      <c r="A194" s="48" t="s">
        <v>367</v>
      </c>
      <c r="B194" s="107" t="s">
        <v>336</v>
      </c>
      <c r="C194" s="107" t="s">
        <v>313</v>
      </c>
      <c r="D194" s="107" t="s">
        <v>368</v>
      </c>
      <c r="E194" s="107"/>
      <c r="F194" s="108">
        <f>SUM(F195:F197)</f>
        <v>16165600</v>
      </c>
      <c r="G194" s="108">
        <f>SUM(G195:G196)</f>
        <v>13500000</v>
      </c>
      <c r="H194" s="108">
        <f>SUM(H195:H196)</f>
        <v>13500000</v>
      </c>
    </row>
    <row r="195" spans="1:8" ht="33.75">
      <c r="A195" s="48" t="s">
        <v>187</v>
      </c>
      <c r="B195" s="107" t="s">
        <v>336</v>
      </c>
      <c r="C195" s="107" t="s">
        <v>313</v>
      </c>
      <c r="D195" s="107" t="s">
        <v>368</v>
      </c>
      <c r="E195" s="107" t="s">
        <v>244</v>
      </c>
      <c r="F195" s="349">
        <v>197734</v>
      </c>
      <c r="G195" s="349">
        <v>197734</v>
      </c>
      <c r="H195" s="349">
        <v>197734</v>
      </c>
    </row>
    <row r="196" spans="1:8" ht="16.5">
      <c r="A196" s="48" t="s">
        <v>188</v>
      </c>
      <c r="B196" s="107" t="s">
        <v>336</v>
      </c>
      <c r="C196" s="107" t="s">
        <v>313</v>
      </c>
      <c r="D196" s="107" t="s">
        <v>368</v>
      </c>
      <c r="E196" s="107" t="s">
        <v>249</v>
      </c>
      <c r="F196" s="349">
        <v>13302266</v>
      </c>
      <c r="G196" s="349">
        <v>13302266</v>
      </c>
      <c r="H196" s="349">
        <v>13302266</v>
      </c>
    </row>
    <row r="197" spans="1:9" ht="33.75">
      <c r="A197" s="48" t="s">
        <v>212</v>
      </c>
      <c r="B197" s="107" t="s">
        <v>336</v>
      </c>
      <c r="C197" s="107" t="s">
        <v>313</v>
      </c>
      <c r="D197" s="107" t="s">
        <v>368</v>
      </c>
      <c r="E197" s="107" t="s">
        <v>258</v>
      </c>
      <c r="F197" s="349">
        <v>2665600</v>
      </c>
      <c r="G197" s="354">
        <v>0</v>
      </c>
      <c r="H197" s="354">
        <v>0</v>
      </c>
      <c r="I197" s="355"/>
    </row>
    <row r="198" spans="1:32" s="103" customFormat="1" ht="16.5">
      <c r="A198" s="70" t="s">
        <v>370</v>
      </c>
      <c r="B198" s="105" t="s">
        <v>336</v>
      </c>
      <c r="C198" s="105" t="s">
        <v>317</v>
      </c>
      <c r="D198" s="105"/>
      <c r="E198" s="105"/>
      <c r="F198" s="106">
        <f>F199</f>
        <v>7927711.69</v>
      </c>
      <c r="G198" s="106">
        <f>G199</f>
        <v>3973516.03</v>
      </c>
      <c r="H198" s="106">
        <f>H199</f>
        <v>3973516.03</v>
      </c>
      <c r="I198" s="169"/>
      <c r="J198" s="302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4"/>
      <c r="V198" s="3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</row>
    <row r="199" spans="1:32" s="103" customFormat="1" ht="16.5">
      <c r="A199" s="70" t="s">
        <v>302</v>
      </c>
      <c r="B199" s="105" t="s">
        <v>336</v>
      </c>
      <c r="C199" s="105" t="s">
        <v>317</v>
      </c>
      <c r="D199" s="105" t="s">
        <v>303</v>
      </c>
      <c r="E199" s="105"/>
      <c r="F199" s="106">
        <f>F200+F203</f>
        <v>7927711.69</v>
      </c>
      <c r="G199" s="106">
        <f>G200+G203</f>
        <v>3973516.03</v>
      </c>
      <c r="H199" s="106">
        <f>H200+H203</f>
        <v>3973516.03</v>
      </c>
      <c r="I199" s="169"/>
      <c r="J199" s="302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4"/>
      <c r="V199" s="3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</row>
    <row r="200" spans="1:32" s="103" customFormat="1" ht="33.75">
      <c r="A200" s="48" t="s">
        <v>304</v>
      </c>
      <c r="B200" s="107" t="s">
        <v>336</v>
      </c>
      <c r="C200" s="107" t="s">
        <v>317</v>
      </c>
      <c r="D200" s="107" t="s">
        <v>305</v>
      </c>
      <c r="E200" s="107"/>
      <c r="F200" s="108">
        <f aca="true" t="shared" si="21" ref="F200:H201">F201</f>
        <v>4444504.91</v>
      </c>
      <c r="G200" s="108">
        <f t="shared" si="21"/>
        <v>2854216.03</v>
      </c>
      <c r="H200" s="108">
        <f t="shared" si="21"/>
        <v>2854216.03</v>
      </c>
      <c r="I200" s="169"/>
      <c r="J200" s="302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4"/>
      <c r="V200" s="3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</row>
    <row r="201" spans="1:32" s="103" customFormat="1" ht="33.75">
      <c r="A201" s="48" t="s">
        <v>314</v>
      </c>
      <c r="B201" s="107" t="s">
        <v>336</v>
      </c>
      <c r="C201" s="107" t="s">
        <v>317</v>
      </c>
      <c r="D201" s="107" t="s">
        <v>315</v>
      </c>
      <c r="E201" s="107"/>
      <c r="F201" s="108">
        <f t="shared" si="21"/>
        <v>4444504.91</v>
      </c>
      <c r="G201" s="108">
        <f t="shared" si="21"/>
        <v>2854216.03</v>
      </c>
      <c r="H201" s="108">
        <f t="shared" si="21"/>
        <v>2854216.03</v>
      </c>
      <c r="I201" s="169"/>
      <c r="J201" s="302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4"/>
      <c r="V201" s="3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</row>
    <row r="202" spans="1:32" s="103" customFormat="1" ht="84.75">
      <c r="A202" s="48" t="s">
        <v>186</v>
      </c>
      <c r="B202" s="107" t="s">
        <v>336</v>
      </c>
      <c r="C202" s="107" t="s">
        <v>317</v>
      </c>
      <c r="D202" s="107" t="s">
        <v>315</v>
      </c>
      <c r="E202" s="107" t="s">
        <v>221</v>
      </c>
      <c r="F202" s="108">
        <f>2854216.03+1308059.52+282229.36</f>
        <v>4444504.91</v>
      </c>
      <c r="G202" s="108">
        <v>2854216.03</v>
      </c>
      <c r="H202" s="108">
        <v>2854216.03</v>
      </c>
      <c r="I202" s="169"/>
      <c r="J202" s="302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4"/>
      <c r="V202" s="3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1:8" ht="16.5">
      <c r="A203" s="48" t="s">
        <v>322</v>
      </c>
      <c r="B203" s="107" t="s">
        <v>336</v>
      </c>
      <c r="C203" s="107" t="s">
        <v>317</v>
      </c>
      <c r="D203" s="107" t="s">
        <v>323</v>
      </c>
      <c r="E203" s="107"/>
      <c r="F203" s="108">
        <f>F206+F204</f>
        <v>3483206.7800000003</v>
      </c>
      <c r="G203" s="108">
        <f>G206+G204</f>
        <v>1119300</v>
      </c>
      <c r="H203" s="108">
        <f>H206+H204</f>
        <v>1119300</v>
      </c>
    </row>
    <row r="204" spans="1:8" ht="33.75">
      <c r="A204" s="48" t="s">
        <v>367</v>
      </c>
      <c r="B204" s="107" t="s">
        <v>336</v>
      </c>
      <c r="C204" s="107" t="s">
        <v>317</v>
      </c>
      <c r="D204" s="107" t="s">
        <v>368</v>
      </c>
      <c r="E204" s="107"/>
      <c r="F204" s="108">
        <f>F205</f>
        <v>2290374</v>
      </c>
      <c r="G204" s="108">
        <f>G205</f>
        <v>0</v>
      </c>
      <c r="H204" s="108">
        <f>H205</f>
        <v>0</v>
      </c>
    </row>
    <row r="205" spans="1:8" ht="16.5">
      <c r="A205" s="48" t="s">
        <v>188</v>
      </c>
      <c r="B205" s="107" t="s">
        <v>336</v>
      </c>
      <c r="C205" s="107" t="s">
        <v>317</v>
      </c>
      <c r="D205" s="107" t="s">
        <v>368</v>
      </c>
      <c r="E205" s="107" t="s">
        <v>249</v>
      </c>
      <c r="F205" s="108">
        <f>460919+1062299+767156</f>
        <v>2290374</v>
      </c>
      <c r="G205" s="108"/>
      <c r="H205" s="108"/>
    </row>
    <row r="206" spans="1:8" ht="33.75">
      <c r="A206" s="48" t="s">
        <v>638</v>
      </c>
      <c r="B206" s="107" t="s">
        <v>336</v>
      </c>
      <c r="C206" s="107" t="s">
        <v>317</v>
      </c>
      <c r="D206" s="107" t="s">
        <v>639</v>
      </c>
      <c r="E206" s="107"/>
      <c r="F206" s="108">
        <f>F207+F208</f>
        <v>1192832.78</v>
      </c>
      <c r="G206" s="108">
        <f>G207+G208</f>
        <v>1119300</v>
      </c>
      <c r="H206" s="108">
        <f>H207+H208</f>
        <v>1119300</v>
      </c>
    </row>
    <row r="207" spans="1:26" ht="33.75" hidden="1">
      <c r="A207" s="48" t="s">
        <v>187</v>
      </c>
      <c r="B207" s="107" t="s">
        <v>336</v>
      </c>
      <c r="C207" s="107" t="s">
        <v>317</v>
      </c>
      <c r="D207" s="107" t="s">
        <v>368</v>
      </c>
      <c r="E207" s="107" t="s">
        <v>244</v>
      </c>
      <c r="F207" s="109"/>
      <c r="G207" s="109"/>
      <c r="H207" s="109"/>
      <c r="K207" s="301"/>
      <c r="L207" s="301"/>
      <c r="M207" s="301"/>
      <c r="O207" s="301"/>
      <c r="P207" s="301"/>
      <c r="Q207" s="301"/>
      <c r="S207" s="301"/>
      <c r="V207" s="301"/>
      <c r="Z207" s="301"/>
    </row>
    <row r="208" spans="1:26" ht="16.5">
      <c r="A208" s="48" t="s">
        <v>188</v>
      </c>
      <c r="B208" s="107" t="s">
        <v>336</v>
      </c>
      <c r="C208" s="107" t="s">
        <v>317</v>
      </c>
      <c r="D208" s="107" t="s">
        <v>639</v>
      </c>
      <c r="E208" s="107" t="s">
        <v>249</v>
      </c>
      <c r="F208" s="109">
        <f>1119300+73532.78</f>
        <v>1192832.78</v>
      </c>
      <c r="G208" s="109">
        <v>1119300</v>
      </c>
      <c r="H208" s="109">
        <v>1119300</v>
      </c>
      <c r="K208" s="301"/>
      <c r="L208" s="301"/>
      <c r="M208" s="301"/>
      <c r="O208" s="301"/>
      <c r="P208" s="301"/>
      <c r="Q208" s="301"/>
      <c r="S208" s="301"/>
      <c r="V208" s="301"/>
      <c r="Z208" s="301"/>
    </row>
    <row r="209" spans="1:8" ht="16.5">
      <c r="A209" s="70" t="s">
        <v>371</v>
      </c>
      <c r="B209" s="105" t="s">
        <v>321</v>
      </c>
      <c r="C209" s="105"/>
      <c r="D209" s="105"/>
      <c r="E209" s="115"/>
      <c r="F209" s="111">
        <f>F210</f>
        <v>41175062.2</v>
      </c>
      <c r="G209" s="111">
        <f aca="true" t="shared" si="22" ref="G209:H212">G210</f>
        <v>0</v>
      </c>
      <c r="H209" s="111">
        <f t="shared" si="22"/>
        <v>0</v>
      </c>
    </row>
    <row r="210" spans="1:8" ht="16.5">
      <c r="A210" s="70" t="s">
        <v>372</v>
      </c>
      <c r="B210" s="105" t="s">
        <v>321</v>
      </c>
      <c r="C210" s="105" t="s">
        <v>299</v>
      </c>
      <c r="D210" s="105"/>
      <c r="E210" s="115"/>
      <c r="F210" s="111">
        <f>F211</f>
        <v>41175062.2</v>
      </c>
      <c r="G210" s="111">
        <f t="shared" si="22"/>
        <v>0</v>
      </c>
      <c r="H210" s="111">
        <f t="shared" si="22"/>
        <v>0</v>
      </c>
    </row>
    <row r="211" spans="1:8" ht="16.5">
      <c r="A211" s="70" t="s">
        <v>302</v>
      </c>
      <c r="B211" s="105" t="s">
        <v>321</v>
      </c>
      <c r="C211" s="105" t="s">
        <v>299</v>
      </c>
      <c r="D211" s="116" t="s">
        <v>303</v>
      </c>
      <c r="E211" s="115"/>
      <c r="F211" s="111">
        <f>F212</f>
        <v>41175062.2</v>
      </c>
      <c r="G211" s="111">
        <f t="shared" si="22"/>
        <v>0</v>
      </c>
      <c r="H211" s="111">
        <f t="shared" si="22"/>
        <v>0</v>
      </c>
    </row>
    <row r="212" spans="1:8" ht="16.5">
      <c r="A212" s="48" t="s">
        <v>322</v>
      </c>
      <c r="B212" s="107" t="s">
        <v>321</v>
      </c>
      <c r="C212" s="107" t="s">
        <v>299</v>
      </c>
      <c r="D212" s="107" t="s">
        <v>323</v>
      </c>
      <c r="E212" s="117"/>
      <c r="F212" s="109">
        <f>F213</f>
        <v>41175062.2</v>
      </c>
      <c r="G212" s="109">
        <f t="shared" si="22"/>
        <v>0</v>
      </c>
      <c r="H212" s="109">
        <f t="shared" si="22"/>
        <v>0</v>
      </c>
    </row>
    <row r="213" spans="1:8" ht="16.5">
      <c r="A213" s="48" t="s">
        <v>373</v>
      </c>
      <c r="B213" s="107" t="s">
        <v>321</v>
      </c>
      <c r="C213" s="107" t="s">
        <v>299</v>
      </c>
      <c r="D213" s="107" t="s">
        <v>374</v>
      </c>
      <c r="E213" s="117"/>
      <c r="F213" s="109">
        <f>F216+F214+F215</f>
        <v>41175062.2</v>
      </c>
      <c r="G213" s="109">
        <f>G216+G214+G215</f>
        <v>0</v>
      </c>
      <c r="H213" s="109">
        <f>H216+H214+H215</f>
        <v>0</v>
      </c>
    </row>
    <row r="214" spans="1:8" ht="33.75">
      <c r="A214" s="48" t="s">
        <v>187</v>
      </c>
      <c r="B214" s="107" t="s">
        <v>321</v>
      </c>
      <c r="C214" s="107" t="s">
        <v>299</v>
      </c>
      <c r="D214" s="107" t="s">
        <v>374</v>
      </c>
      <c r="E214" s="117" t="s">
        <v>244</v>
      </c>
      <c r="F214" s="109">
        <f>23168250+14317125.6+2028632.4</f>
        <v>39514008</v>
      </c>
      <c r="G214" s="109">
        <v>0</v>
      </c>
      <c r="H214" s="109">
        <v>0</v>
      </c>
    </row>
    <row r="215" spans="1:8" ht="16.5">
      <c r="A215" s="48" t="s">
        <v>188</v>
      </c>
      <c r="B215" s="107" t="s">
        <v>321</v>
      </c>
      <c r="C215" s="107" t="s">
        <v>299</v>
      </c>
      <c r="D215" s="107" t="s">
        <v>374</v>
      </c>
      <c r="E215" s="117" t="s">
        <v>249</v>
      </c>
      <c r="F215" s="109">
        <f>400000+125379-45379+508873</f>
        <v>988873</v>
      </c>
      <c r="G215" s="109">
        <v>0</v>
      </c>
      <c r="H215" s="109">
        <v>0</v>
      </c>
    </row>
    <row r="216" spans="1:8" ht="33.75">
      <c r="A216" s="48" t="s">
        <v>212</v>
      </c>
      <c r="B216" s="107" t="s">
        <v>321</v>
      </c>
      <c r="C216" s="107" t="s">
        <v>299</v>
      </c>
      <c r="D216" s="107" t="s">
        <v>374</v>
      </c>
      <c r="E216" s="117" t="s">
        <v>258</v>
      </c>
      <c r="F216" s="109">
        <v>672181.2</v>
      </c>
      <c r="G216" s="109">
        <v>0</v>
      </c>
      <c r="H216" s="109">
        <v>0</v>
      </c>
    </row>
    <row r="217" spans="1:8" ht="51">
      <c r="A217" s="118" t="s">
        <v>375</v>
      </c>
      <c r="B217" s="116" t="s">
        <v>376</v>
      </c>
      <c r="C217" s="116"/>
      <c r="D217" s="116"/>
      <c r="E217" s="119"/>
      <c r="F217" s="120">
        <f aca="true" t="shared" si="23" ref="F217:H220">F218</f>
        <v>461564467.12</v>
      </c>
      <c r="G217" s="120">
        <f t="shared" si="23"/>
        <v>0</v>
      </c>
      <c r="H217" s="120">
        <f t="shared" si="23"/>
        <v>0</v>
      </c>
    </row>
    <row r="218" spans="1:8" ht="33.75">
      <c r="A218" s="121" t="s">
        <v>377</v>
      </c>
      <c r="B218" s="116" t="s">
        <v>376</v>
      </c>
      <c r="C218" s="116" t="s">
        <v>309</v>
      </c>
      <c r="D218" s="116"/>
      <c r="E218" s="116"/>
      <c r="F218" s="120">
        <f t="shared" si="23"/>
        <v>461564467.12</v>
      </c>
      <c r="G218" s="120">
        <f t="shared" si="23"/>
        <v>0</v>
      </c>
      <c r="H218" s="120">
        <f t="shared" si="23"/>
        <v>0</v>
      </c>
    </row>
    <row r="219" spans="1:8" ht="16.5">
      <c r="A219" s="70" t="s">
        <v>302</v>
      </c>
      <c r="B219" s="116" t="s">
        <v>376</v>
      </c>
      <c r="C219" s="116" t="s">
        <v>309</v>
      </c>
      <c r="D219" s="116" t="s">
        <v>303</v>
      </c>
      <c r="E219" s="116"/>
      <c r="F219" s="120">
        <f t="shared" si="23"/>
        <v>461564467.12</v>
      </c>
      <c r="G219" s="120">
        <f t="shared" si="23"/>
        <v>0</v>
      </c>
      <c r="H219" s="120">
        <f t="shared" si="23"/>
        <v>0</v>
      </c>
    </row>
    <row r="220" spans="1:8" ht="16.5">
      <c r="A220" s="48" t="s">
        <v>378</v>
      </c>
      <c r="B220" s="122" t="s">
        <v>376</v>
      </c>
      <c r="C220" s="122" t="s">
        <v>309</v>
      </c>
      <c r="D220" s="122" t="s">
        <v>379</v>
      </c>
      <c r="E220" s="122"/>
      <c r="F220" s="17">
        <f>F221+F223</f>
        <v>461564467.12</v>
      </c>
      <c r="G220" s="17">
        <f t="shared" si="23"/>
        <v>0</v>
      </c>
      <c r="H220" s="17">
        <f t="shared" si="23"/>
        <v>0</v>
      </c>
    </row>
    <row r="221" spans="1:8" ht="33.75">
      <c r="A221" s="123" t="s">
        <v>380</v>
      </c>
      <c r="B221" s="122" t="s">
        <v>376</v>
      </c>
      <c r="C221" s="122" t="s">
        <v>309</v>
      </c>
      <c r="D221" s="122" t="s">
        <v>381</v>
      </c>
      <c r="E221" s="122"/>
      <c r="F221" s="17">
        <f>F222</f>
        <v>226058000</v>
      </c>
      <c r="G221" s="17">
        <f>G222</f>
        <v>0</v>
      </c>
      <c r="H221" s="17">
        <f>H222</f>
        <v>0</v>
      </c>
    </row>
    <row r="222" spans="1:8" ht="16.5">
      <c r="A222" s="123" t="s">
        <v>378</v>
      </c>
      <c r="B222" s="122" t="s">
        <v>376</v>
      </c>
      <c r="C222" s="122" t="s">
        <v>309</v>
      </c>
      <c r="D222" s="122" t="s">
        <v>381</v>
      </c>
      <c r="E222" s="122" t="s">
        <v>382</v>
      </c>
      <c r="F222" s="17">
        <f>266058000-40000000</f>
        <v>226058000</v>
      </c>
      <c r="G222" s="109">
        <v>0</v>
      </c>
      <c r="H222" s="109">
        <v>0</v>
      </c>
    </row>
    <row r="223" spans="1:8" ht="33.75">
      <c r="A223" s="124" t="s">
        <v>383</v>
      </c>
      <c r="B223" s="122" t="s">
        <v>376</v>
      </c>
      <c r="C223" s="122" t="s">
        <v>309</v>
      </c>
      <c r="D223" s="125">
        <v>9960088520</v>
      </c>
      <c r="E223" s="125"/>
      <c r="F223" s="109">
        <f>F224</f>
        <v>235506467.12</v>
      </c>
      <c r="G223" s="109">
        <f>G224</f>
        <v>0</v>
      </c>
      <c r="H223" s="109">
        <f>H224</f>
        <v>0</v>
      </c>
    </row>
    <row r="224" spans="1:8" ht="16.5">
      <c r="A224" s="123" t="s">
        <v>378</v>
      </c>
      <c r="B224" s="122" t="s">
        <v>376</v>
      </c>
      <c r="C224" s="122" t="s">
        <v>309</v>
      </c>
      <c r="D224" s="125">
        <v>9960088520</v>
      </c>
      <c r="E224" s="125">
        <v>500</v>
      </c>
      <c r="F224" s="109">
        <f>14000000+91062871.73+58078706.61+791472.75+1582150.35+8642390.77+3481059.96+12413400+5098035.97+5621216.4+32894436.44+1840726.14</f>
        <v>235506467.12</v>
      </c>
      <c r="G224" s="109">
        <v>0</v>
      </c>
      <c r="H224" s="109">
        <v>0</v>
      </c>
    </row>
  </sheetData>
  <sheetProtection/>
  <mergeCells count="5">
    <mergeCell ref="A9:H9"/>
    <mergeCell ref="G2:H2"/>
    <mergeCell ref="G3:H3"/>
    <mergeCell ref="G4:H4"/>
    <mergeCell ref="G6:H6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6"/>
  <sheetViews>
    <sheetView zoomScalePageLayoutView="0" workbookViewId="0" topLeftCell="A1">
      <selection activeCell="G2" sqref="G2:H7"/>
    </sheetView>
  </sheetViews>
  <sheetFormatPr defaultColWidth="9.140625" defaultRowHeight="15"/>
  <cols>
    <col min="1" max="1" width="60.8515625" style="2" customWidth="1"/>
    <col min="2" max="2" width="6.140625" style="126" customWidth="1"/>
    <col min="3" max="3" width="6.00390625" style="126" customWidth="1"/>
    <col min="4" max="4" width="17.421875" style="2" customWidth="1"/>
    <col min="5" max="5" width="8.00390625" style="2" customWidth="1"/>
    <col min="6" max="6" width="19.28125" style="127" customWidth="1"/>
    <col min="7" max="7" width="21.00390625" style="131" customWidth="1"/>
    <col min="8" max="8" width="25.00390625" style="86" customWidth="1"/>
    <col min="9" max="9" width="9.140625" style="1" customWidth="1"/>
    <col min="10" max="10" width="19.140625" style="1" hidden="1" customWidth="1"/>
    <col min="11" max="11" width="18.7109375" style="1" hidden="1" customWidth="1"/>
    <col min="12" max="13" width="20.421875" style="1" hidden="1" customWidth="1"/>
    <col min="14" max="14" width="17.28125" style="1" bestFit="1" customWidth="1"/>
    <col min="15" max="16" width="21.421875" style="1" customWidth="1"/>
    <col min="17" max="16384" width="9.140625" style="1" customWidth="1"/>
  </cols>
  <sheetData>
    <row r="1" spans="7:8" ht="15">
      <c r="G1" s="127"/>
      <c r="H1" s="127"/>
    </row>
    <row r="2" spans="4:8" ht="18">
      <c r="D2" s="128"/>
      <c r="G2" s="129" t="s">
        <v>630</v>
      </c>
      <c r="H2" s="369"/>
    </row>
    <row r="3" spans="4:8" ht="18">
      <c r="D3" s="128"/>
      <c r="G3" s="377" t="s">
        <v>772</v>
      </c>
      <c r="H3" s="377"/>
    </row>
    <row r="4" spans="4:8" ht="18">
      <c r="D4" s="128"/>
      <c r="G4" s="377" t="s">
        <v>17</v>
      </c>
      <c r="H4" s="377"/>
    </row>
    <row r="5" spans="4:8" ht="18">
      <c r="D5" s="128"/>
      <c r="G5" s="377" t="s">
        <v>18</v>
      </c>
      <c r="H5" s="377"/>
    </row>
    <row r="6" spans="4:8" ht="18">
      <c r="D6" s="128"/>
      <c r="G6" s="371" t="s">
        <v>773</v>
      </c>
      <c r="H6" s="371"/>
    </row>
    <row r="7" spans="4:8" ht="18">
      <c r="D7" s="128"/>
      <c r="G7" s="377" t="s">
        <v>774</v>
      </c>
      <c r="H7" s="377"/>
    </row>
    <row r="8" spans="4:8" ht="18">
      <c r="D8" s="128"/>
      <c r="G8" s="366"/>
      <c r="H8" s="368"/>
    </row>
    <row r="9" spans="7:8" ht="15">
      <c r="G9" s="127"/>
      <c r="H9" s="127"/>
    </row>
    <row r="11" spans="1:14" ht="59.25" customHeight="1">
      <c r="A11" s="381" t="s">
        <v>419</v>
      </c>
      <c r="B11" s="381"/>
      <c r="C11" s="381"/>
      <c r="D11" s="381"/>
      <c r="E11" s="381"/>
      <c r="F11" s="381"/>
      <c r="G11" s="381"/>
      <c r="H11" s="381"/>
      <c r="M11" s="27"/>
      <c r="N11" s="27"/>
    </row>
    <row r="13" spans="6:8" ht="15.75">
      <c r="F13" s="130"/>
      <c r="H13" s="130" t="s">
        <v>178</v>
      </c>
    </row>
    <row r="14" spans="1:8" s="85" customFormat="1" ht="16.5">
      <c r="A14" s="31" t="s">
        <v>20</v>
      </c>
      <c r="B14" s="132" t="s">
        <v>295</v>
      </c>
      <c r="C14" s="132" t="s">
        <v>296</v>
      </c>
      <c r="D14" s="31" t="s">
        <v>179</v>
      </c>
      <c r="E14" s="31" t="s">
        <v>180</v>
      </c>
      <c r="F14" s="99" t="s">
        <v>21</v>
      </c>
      <c r="G14" s="99" t="s">
        <v>22</v>
      </c>
      <c r="H14" s="99" t="s">
        <v>166</v>
      </c>
    </row>
    <row r="15" spans="1:16" s="83" customFormat="1" ht="16.5">
      <c r="A15" s="133" t="s">
        <v>181</v>
      </c>
      <c r="B15" s="134"/>
      <c r="C15" s="134"/>
      <c r="D15" s="34"/>
      <c r="E15" s="34"/>
      <c r="F15" s="135">
        <f>F16+F78+F87+F136+F145+F224+F256+F264+F321+F342+F126</f>
        <v>3472798365.0299997</v>
      </c>
      <c r="G15" s="135">
        <f>G16+G78+G87+G136+G145+G224+G256+G264+G321+G342+G126</f>
        <v>2215550585.6499996</v>
      </c>
      <c r="H15" s="135">
        <f>H16+H78+H87+H136+H145+H224+H256+H264+H321+H342+H126</f>
        <v>2219734655.37</v>
      </c>
      <c r="J15" s="84"/>
      <c r="K15" s="84"/>
      <c r="L15" s="84"/>
      <c r="M15" s="84"/>
      <c r="N15" s="84"/>
      <c r="O15" s="84"/>
      <c r="P15" s="84"/>
    </row>
    <row r="16" spans="1:13" ht="16.5">
      <c r="A16" s="70" t="s">
        <v>298</v>
      </c>
      <c r="B16" s="105" t="s">
        <v>299</v>
      </c>
      <c r="C16" s="105"/>
      <c r="D16" s="105"/>
      <c r="E16" s="105"/>
      <c r="F16" s="106">
        <f>F17+F21+F27+F34+F44+F48+F40</f>
        <v>798036147.49</v>
      </c>
      <c r="G16" s="106">
        <f>G17+G21+G27+G34+G44+G48+G40</f>
        <v>616264674.5699999</v>
      </c>
      <c r="H16" s="106">
        <f>H17+H21+H27+H34+H44+H48+H40</f>
        <v>616264674.5699999</v>
      </c>
      <c r="M16" s="27"/>
    </row>
    <row r="17" spans="1:8" ht="33.75">
      <c r="A17" s="70" t="s">
        <v>300</v>
      </c>
      <c r="B17" s="105" t="s">
        <v>299</v>
      </c>
      <c r="C17" s="105" t="s">
        <v>301</v>
      </c>
      <c r="D17" s="105"/>
      <c r="E17" s="105"/>
      <c r="F17" s="106">
        <f aca="true" t="shared" si="0" ref="F17:H19">F18</f>
        <v>8175148.1</v>
      </c>
      <c r="G17" s="106">
        <f t="shared" si="0"/>
        <v>7119360</v>
      </c>
      <c r="H17" s="106">
        <f t="shared" si="0"/>
        <v>7119360</v>
      </c>
    </row>
    <row r="18" spans="1:8" s="136" customFormat="1" ht="16.5">
      <c r="A18" s="70" t="s">
        <v>302</v>
      </c>
      <c r="B18" s="105" t="s">
        <v>299</v>
      </c>
      <c r="C18" s="105" t="s">
        <v>301</v>
      </c>
      <c r="D18" s="105" t="s">
        <v>303</v>
      </c>
      <c r="E18" s="105"/>
      <c r="F18" s="106">
        <f t="shared" si="0"/>
        <v>8175148.1</v>
      </c>
      <c r="G18" s="106">
        <f t="shared" si="0"/>
        <v>7119360</v>
      </c>
      <c r="H18" s="106">
        <f t="shared" si="0"/>
        <v>7119360</v>
      </c>
    </row>
    <row r="19" spans="1:8" ht="33.75">
      <c r="A19" s="48" t="s">
        <v>304</v>
      </c>
      <c r="B19" s="107" t="s">
        <v>299</v>
      </c>
      <c r="C19" s="107" t="s">
        <v>301</v>
      </c>
      <c r="D19" s="107" t="s">
        <v>305</v>
      </c>
      <c r="E19" s="107"/>
      <c r="F19" s="108">
        <f t="shared" si="0"/>
        <v>8175148.1</v>
      </c>
      <c r="G19" s="108">
        <f t="shared" si="0"/>
        <v>7119360</v>
      </c>
      <c r="H19" s="108">
        <f t="shared" si="0"/>
        <v>7119360</v>
      </c>
    </row>
    <row r="20" spans="1:8" ht="67.5">
      <c r="A20" s="48" t="s">
        <v>186</v>
      </c>
      <c r="B20" s="107" t="s">
        <v>299</v>
      </c>
      <c r="C20" s="107" t="s">
        <v>301</v>
      </c>
      <c r="D20" s="107" t="s">
        <v>305</v>
      </c>
      <c r="E20" s="107" t="s">
        <v>221</v>
      </c>
      <c r="F20" s="137">
        <f>'Приложение 3'!F19</f>
        <v>8175148.1</v>
      </c>
      <c r="G20" s="137">
        <f>'Приложение 3'!G19</f>
        <v>7119360</v>
      </c>
      <c r="H20" s="137">
        <f>'Приложение 3'!H19</f>
        <v>7119360</v>
      </c>
    </row>
    <row r="21" spans="1:8" s="136" customFormat="1" ht="51">
      <c r="A21" s="70" t="s">
        <v>308</v>
      </c>
      <c r="B21" s="105" t="s">
        <v>299</v>
      </c>
      <c r="C21" s="105" t="s">
        <v>309</v>
      </c>
      <c r="D21" s="105"/>
      <c r="E21" s="105"/>
      <c r="F21" s="106">
        <f aca="true" t="shared" si="1" ref="F21:H22">F22</f>
        <v>3854672.66</v>
      </c>
      <c r="G21" s="106">
        <f t="shared" si="1"/>
        <v>3952396.66</v>
      </c>
      <c r="H21" s="106">
        <f t="shared" si="1"/>
        <v>3952396.66</v>
      </c>
    </row>
    <row r="22" spans="1:8" ht="16.5">
      <c r="A22" s="70" t="s">
        <v>302</v>
      </c>
      <c r="B22" s="105" t="s">
        <v>299</v>
      </c>
      <c r="C22" s="105" t="s">
        <v>309</v>
      </c>
      <c r="D22" s="105" t="s">
        <v>303</v>
      </c>
      <c r="E22" s="105"/>
      <c r="F22" s="106">
        <f t="shared" si="1"/>
        <v>3854672.66</v>
      </c>
      <c r="G22" s="106">
        <f t="shared" si="1"/>
        <v>3952396.66</v>
      </c>
      <c r="H22" s="106">
        <f t="shared" si="1"/>
        <v>3952396.66</v>
      </c>
    </row>
    <row r="23" spans="1:8" ht="33.75">
      <c r="A23" s="48" t="s">
        <v>304</v>
      </c>
      <c r="B23" s="107" t="s">
        <v>299</v>
      </c>
      <c r="C23" s="107" t="s">
        <v>309</v>
      </c>
      <c r="D23" s="107" t="s">
        <v>305</v>
      </c>
      <c r="E23" s="107"/>
      <c r="F23" s="108">
        <f>F24+F25+F26</f>
        <v>3854672.66</v>
      </c>
      <c r="G23" s="108">
        <f>G24+G25+G26</f>
        <v>3952396.66</v>
      </c>
      <c r="H23" s="108">
        <f>H24+H25+H26</f>
        <v>3952396.66</v>
      </c>
    </row>
    <row r="24" spans="1:8" ht="67.5">
      <c r="A24" s="48" t="s">
        <v>186</v>
      </c>
      <c r="B24" s="107" t="s">
        <v>299</v>
      </c>
      <c r="C24" s="107" t="s">
        <v>309</v>
      </c>
      <c r="D24" s="107" t="s">
        <v>305</v>
      </c>
      <c r="E24" s="107" t="s">
        <v>221</v>
      </c>
      <c r="F24" s="108">
        <f>'Приложение 3'!F24</f>
        <v>537510.66</v>
      </c>
      <c r="G24" s="108">
        <f>'Приложение 3'!G24</f>
        <v>574034.66</v>
      </c>
      <c r="H24" s="108">
        <f>'Приложение 3'!H24</f>
        <v>574034.66</v>
      </c>
    </row>
    <row r="25" spans="1:8" ht="33.75">
      <c r="A25" s="48" t="s">
        <v>187</v>
      </c>
      <c r="B25" s="107" t="s">
        <v>299</v>
      </c>
      <c r="C25" s="107" t="s">
        <v>309</v>
      </c>
      <c r="D25" s="107" t="s">
        <v>305</v>
      </c>
      <c r="E25" s="107" t="s">
        <v>244</v>
      </c>
      <c r="F25" s="108">
        <f>'Приложение 3'!F25</f>
        <v>3297162</v>
      </c>
      <c r="G25" s="108">
        <f>'Приложение 3'!G25</f>
        <v>3358362</v>
      </c>
      <c r="H25" s="108">
        <f>'Приложение 3'!H25</f>
        <v>3358362</v>
      </c>
    </row>
    <row r="26" spans="1:8" ht="16.5">
      <c r="A26" s="48" t="s">
        <v>189</v>
      </c>
      <c r="B26" s="107" t="s">
        <v>299</v>
      </c>
      <c r="C26" s="107" t="s">
        <v>309</v>
      </c>
      <c r="D26" s="107" t="s">
        <v>305</v>
      </c>
      <c r="E26" s="107" t="s">
        <v>223</v>
      </c>
      <c r="F26" s="108">
        <f>'Приложение 3'!F26</f>
        <v>20000</v>
      </c>
      <c r="G26" s="108">
        <f>'Приложение 3'!G26</f>
        <v>20000</v>
      </c>
      <c r="H26" s="108">
        <f>'Приложение 3'!H26</f>
        <v>20000</v>
      </c>
    </row>
    <row r="27" spans="1:8" ht="67.5">
      <c r="A27" s="110" t="s">
        <v>312</v>
      </c>
      <c r="B27" s="105" t="s">
        <v>299</v>
      </c>
      <c r="C27" s="105" t="s">
        <v>313</v>
      </c>
      <c r="D27" s="105"/>
      <c r="E27" s="105"/>
      <c r="F27" s="106">
        <f aca="true" t="shared" si="2" ref="F27:H28">F28</f>
        <v>71110942.56</v>
      </c>
      <c r="G27" s="106">
        <f t="shared" si="2"/>
        <v>63299903.52</v>
      </c>
      <c r="H27" s="106">
        <f t="shared" si="2"/>
        <v>63299903.52</v>
      </c>
    </row>
    <row r="28" spans="1:8" ht="16.5">
      <c r="A28" s="70" t="s">
        <v>302</v>
      </c>
      <c r="B28" s="105" t="s">
        <v>299</v>
      </c>
      <c r="C28" s="105" t="s">
        <v>313</v>
      </c>
      <c r="D28" s="105" t="s">
        <v>303</v>
      </c>
      <c r="E28" s="105"/>
      <c r="F28" s="106">
        <f t="shared" si="2"/>
        <v>71110942.56</v>
      </c>
      <c r="G28" s="106">
        <f t="shared" si="2"/>
        <v>63299903.52</v>
      </c>
      <c r="H28" s="106">
        <f t="shared" si="2"/>
        <v>63299903.52</v>
      </c>
    </row>
    <row r="29" spans="1:8" ht="33.75">
      <c r="A29" s="48" t="s">
        <v>304</v>
      </c>
      <c r="B29" s="107" t="s">
        <v>299</v>
      </c>
      <c r="C29" s="107" t="s">
        <v>313</v>
      </c>
      <c r="D29" s="107" t="s">
        <v>305</v>
      </c>
      <c r="E29" s="107"/>
      <c r="F29" s="108">
        <f>SUM(F30:F33)</f>
        <v>71110942.56</v>
      </c>
      <c r="G29" s="108">
        <f>SUM(G30:G33)</f>
        <v>63299903.52</v>
      </c>
      <c r="H29" s="108">
        <f>SUM(H30:H33)</f>
        <v>63299903.52</v>
      </c>
    </row>
    <row r="30" spans="1:8" ht="67.5">
      <c r="A30" s="48" t="s">
        <v>186</v>
      </c>
      <c r="B30" s="107" t="s">
        <v>299</v>
      </c>
      <c r="C30" s="107" t="s">
        <v>313</v>
      </c>
      <c r="D30" s="107" t="s">
        <v>305</v>
      </c>
      <c r="E30" s="107" t="s">
        <v>221</v>
      </c>
      <c r="F30" s="108">
        <f>'Приложение 3'!F31</f>
        <v>66098861.92</v>
      </c>
      <c r="G30" s="108">
        <f>'Приложение 3'!G31</f>
        <v>56947557.52</v>
      </c>
      <c r="H30" s="108">
        <f>'Приложение 3'!H31</f>
        <v>56947557.52</v>
      </c>
    </row>
    <row r="31" spans="1:8" s="136" customFormat="1" ht="33.75">
      <c r="A31" s="48" t="s">
        <v>187</v>
      </c>
      <c r="B31" s="107" t="s">
        <v>299</v>
      </c>
      <c r="C31" s="107" t="s">
        <v>313</v>
      </c>
      <c r="D31" s="107" t="s">
        <v>305</v>
      </c>
      <c r="E31" s="107" t="s">
        <v>244</v>
      </c>
      <c r="F31" s="108">
        <f>'Приложение 3'!F32</f>
        <v>4858464.64</v>
      </c>
      <c r="G31" s="108">
        <f>'Приложение 3'!G32</f>
        <v>6198730</v>
      </c>
      <c r="H31" s="108">
        <f>'Приложение 3'!H32</f>
        <v>6198730</v>
      </c>
    </row>
    <row r="32" spans="1:8" s="136" customFormat="1" ht="16.5">
      <c r="A32" s="48" t="s">
        <v>188</v>
      </c>
      <c r="B32" s="107" t="s">
        <v>299</v>
      </c>
      <c r="C32" s="107" t="s">
        <v>313</v>
      </c>
      <c r="D32" s="107" t="s">
        <v>305</v>
      </c>
      <c r="E32" s="107" t="s">
        <v>249</v>
      </c>
      <c r="F32" s="108">
        <f>'Приложение 3'!F33</f>
        <v>0</v>
      </c>
      <c r="G32" s="108">
        <f>'Приложение 3'!G33</f>
        <v>0</v>
      </c>
      <c r="H32" s="108">
        <f>'Приложение 3'!H33</f>
        <v>0</v>
      </c>
    </row>
    <row r="33" spans="1:8" s="136" customFormat="1" ht="16.5">
      <c r="A33" s="48" t="s">
        <v>189</v>
      </c>
      <c r="B33" s="107" t="s">
        <v>299</v>
      </c>
      <c r="C33" s="107" t="s">
        <v>313</v>
      </c>
      <c r="D33" s="107" t="s">
        <v>305</v>
      </c>
      <c r="E33" s="107" t="s">
        <v>223</v>
      </c>
      <c r="F33" s="108">
        <f>'Приложение 3'!F34</f>
        <v>153616</v>
      </c>
      <c r="G33" s="108">
        <f>'Приложение 3'!G34</f>
        <v>153616</v>
      </c>
      <c r="H33" s="108">
        <f>'Приложение 3'!H34</f>
        <v>153616</v>
      </c>
    </row>
    <row r="34" spans="1:8" ht="51">
      <c r="A34" s="70" t="s">
        <v>316</v>
      </c>
      <c r="B34" s="105" t="s">
        <v>299</v>
      </c>
      <c r="C34" s="105" t="s">
        <v>317</v>
      </c>
      <c r="D34" s="105"/>
      <c r="E34" s="105"/>
      <c r="F34" s="106">
        <f aca="true" t="shared" si="3" ref="F34:H35">F35</f>
        <v>45975617.81</v>
      </c>
      <c r="G34" s="106">
        <f t="shared" si="3"/>
        <v>39410172.07</v>
      </c>
      <c r="H34" s="106">
        <f t="shared" si="3"/>
        <v>39410172.07</v>
      </c>
    </row>
    <row r="35" spans="1:8" ht="16.5">
      <c r="A35" s="70" t="s">
        <v>302</v>
      </c>
      <c r="B35" s="105" t="s">
        <v>299</v>
      </c>
      <c r="C35" s="105" t="s">
        <v>317</v>
      </c>
      <c r="D35" s="105" t="s">
        <v>303</v>
      </c>
      <c r="E35" s="105"/>
      <c r="F35" s="106">
        <f t="shared" si="3"/>
        <v>45975617.81</v>
      </c>
      <c r="G35" s="106">
        <f t="shared" si="3"/>
        <v>39410172.07</v>
      </c>
      <c r="H35" s="106">
        <f t="shared" si="3"/>
        <v>39410172.07</v>
      </c>
    </row>
    <row r="36" spans="1:8" ht="33.75">
      <c r="A36" s="48" t="s">
        <v>304</v>
      </c>
      <c r="B36" s="107" t="s">
        <v>299</v>
      </c>
      <c r="C36" s="107" t="s">
        <v>317</v>
      </c>
      <c r="D36" s="107" t="s">
        <v>305</v>
      </c>
      <c r="E36" s="107"/>
      <c r="F36" s="108">
        <f>SUM(F37:F39)</f>
        <v>45975617.81</v>
      </c>
      <c r="G36" s="108">
        <f>SUM(G37:G39)</f>
        <v>39410172.07</v>
      </c>
      <c r="H36" s="108">
        <f>SUM(H37:H39)</f>
        <v>39410172.07</v>
      </c>
    </row>
    <row r="37" spans="1:8" ht="67.5">
      <c r="A37" s="48" t="s">
        <v>186</v>
      </c>
      <c r="B37" s="107" t="s">
        <v>299</v>
      </c>
      <c r="C37" s="107" t="s">
        <v>317</v>
      </c>
      <c r="D37" s="107" t="s">
        <v>305</v>
      </c>
      <c r="E37" s="107" t="s">
        <v>221</v>
      </c>
      <c r="F37" s="108">
        <f>'Приложение 3'!F39+'Приложение 3'!F41+'Приложение 3'!F45</f>
        <v>43104758.81</v>
      </c>
      <c r="G37" s="108">
        <f>'Приложение 3'!G39+'Приложение 3'!G41+'Приложение 3'!G45</f>
        <v>36089672.07</v>
      </c>
      <c r="H37" s="108">
        <f>'Приложение 3'!H39+'Приложение 3'!H41+'Приложение 3'!H45</f>
        <v>36089672.07</v>
      </c>
    </row>
    <row r="38" spans="1:8" ht="33.75">
      <c r="A38" s="48" t="s">
        <v>187</v>
      </c>
      <c r="B38" s="107" t="s">
        <v>299</v>
      </c>
      <c r="C38" s="107" t="s">
        <v>317</v>
      </c>
      <c r="D38" s="107" t="s">
        <v>305</v>
      </c>
      <c r="E38" s="107" t="s">
        <v>244</v>
      </c>
      <c r="F38" s="108">
        <f>'Приложение 3'!F42+'Приложение 3'!F46</f>
        <v>2870859</v>
      </c>
      <c r="G38" s="108">
        <f>'Приложение 3'!G42+'Приложение 3'!G46</f>
        <v>3320500</v>
      </c>
      <c r="H38" s="108">
        <f>'Приложение 3'!H42+'Приложение 3'!H46</f>
        <v>3320500</v>
      </c>
    </row>
    <row r="39" spans="1:8" ht="16.5">
      <c r="A39" s="48" t="s">
        <v>188</v>
      </c>
      <c r="B39" s="107" t="s">
        <v>299</v>
      </c>
      <c r="C39" s="107" t="s">
        <v>317</v>
      </c>
      <c r="D39" s="107" t="s">
        <v>305</v>
      </c>
      <c r="E39" s="107" t="s">
        <v>249</v>
      </c>
      <c r="F39" s="108">
        <f>'Приложение 3'!F43</f>
        <v>0</v>
      </c>
      <c r="G39" s="108">
        <f>'Приложение 3'!G43</f>
        <v>0</v>
      </c>
      <c r="H39" s="108">
        <f>'Приложение 3'!H43</f>
        <v>0</v>
      </c>
    </row>
    <row r="40" spans="1:8" s="37" customFormat="1" ht="16.5">
      <c r="A40" s="70" t="s">
        <v>392</v>
      </c>
      <c r="B40" s="105" t="s">
        <v>299</v>
      </c>
      <c r="C40" s="105" t="s">
        <v>353</v>
      </c>
      <c r="D40" s="105"/>
      <c r="E40" s="105"/>
      <c r="F40" s="106">
        <f>F41</f>
        <v>6970452</v>
      </c>
      <c r="G40" s="106">
        <f aca="true" t="shared" si="4" ref="G40:H42">G41</f>
        <v>0</v>
      </c>
      <c r="H40" s="106">
        <f t="shared" si="4"/>
        <v>0</v>
      </c>
    </row>
    <row r="41" spans="1:8" s="37" customFormat="1" ht="16.5">
      <c r="A41" s="70" t="s">
        <v>302</v>
      </c>
      <c r="B41" s="105" t="s">
        <v>299</v>
      </c>
      <c r="C41" s="105" t="s">
        <v>353</v>
      </c>
      <c r="D41" s="105" t="s">
        <v>303</v>
      </c>
      <c r="E41" s="105"/>
      <c r="F41" s="106">
        <f>F42</f>
        <v>6970452</v>
      </c>
      <c r="G41" s="106">
        <f t="shared" si="4"/>
        <v>0</v>
      </c>
      <c r="H41" s="106">
        <f t="shared" si="4"/>
        <v>0</v>
      </c>
    </row>
    <row r="42" spans="1:8" ht="16.5">
      <c r="A42" s="48" t="s">
        <v>391</v>
      </c>
      <c r="B42" s="107" t="s">
        <v>299</v>
      </c>
      <c r="C42" s="107" t="s">
        <v>353</v>
      </c>
      <c r="D42" s="107" t="s">
        <v>390</v>
      </c>
      <c r="E42" s="107"/>
      <c r="F42" s="108">
        <f>F43</f>
        <v>6970452</v>
      </c>
      <c r="G42" s="108">
        <f t="shared" si="4"/>
        <v>0</v>
      </c>
      <c r="H42" s="108">
        <f t="shared" si="4"/>
        <v>0</v>
      </c>
    </row>
    <row r="43" spans="1:8" ht="16.5">
      <c r="A43" s="48" t="s">
        <v>189</v>
      </c>
      <c r="B43" s="107" t="s">
        <v>299</v>
      </c>
      <c r="C43" s="107" t="s">
        <v>353</v>
      </c>
      <c r="D43" s="107" t="s">
        <v>390</v>
      </c>
      <c r="E43" s="107" t="s">
        <v>223</v>
      </c>
      <c r="F43" s="108">
        <f>'Приложение 3'!F51</f>
        <v>6970452</v>
      </c>
      <c r="G43" s="108">
        <f>'Приложение 3'!G51</f>
        <v>0</v>
      </c>
      <c r="H43" s="108">
        <f>'Приложение 3'!H51</f>
        <v>0</v>
      </c>
    </row>
    <row r="44" spans="1:8" ht="16.5">
      <c r="A44" s="70" t="s">
        <v>320</v>
      </c>
      <c r="B44" s="105" t="s">
        <v>299</v>
      </c>
      <c r="C44" s="105" t="s">
        <v>321</v>
      </c>
      <c r="D44" s="105"/>
      <c r="E44" s="105"/>
      <c r="F44" s="106">
        <f aca="true" t="shared" si="5" ref="F44:H46">F45</f>
        <v>20291093.749999993</v>
      </c>
      <c r="G44" s="106">
        <f t="shared" si="5"/>
        <v>30000000</v>
      </c>
      <c r="H44" s="106">
        <f t="shared" si="5"/>
        <v>30000000</v>
      </c>
    </row>
    <row r="45" spans="1:8" ht="16.5">
      <c r="A45" s="70" t="s">
        <v>302</v>
      </c>
      <c r="B45" s="105" t="s">
        <v>299</v>
      </c>
      <c r="C45" s="105" t="s">
        <v>321</v>
      </c>
      <c r="D45" s="105" t="s">
        <v>303</v>
      </c>
      <c r="E45" s="105"/>
      <c r="F45" s="106">
        <f t="shared" si="5"/>
        <v>20291093.749999993</v>
      </c>
      <c r="G45" s="106">
        <f t="shared" si="5"/>
        <v>30000000</v>
      </c>
      <c r="H45" s="106">
        <f t="shared" si="5"/>
        <v>30000000</v>
      </c>
    </row>
    <row r="46" spans="1:8" ht="16.5">
      <c r="A46" s="48" t="s">
        <v>393</v>
      </c>
      <c r="B46" s="107" t="s">
        <v>299</v>
      </c>
      <c r="C46" s="107" t="s">
        <v>321</v>
      </c>
      <c r="D46" s="107" t="s">
        <v>323</v>
      </c>
      <c r="E46" s="107"/>
      <c r="F46" s="108">
        <f t="shared" si="5"/>
        <v>20291093.749999993</v>
      </c>
      <c r="G46" s="108">
        <f t="shared" si="5"/>
        <v>30000000</v>
      </c>
      <c r="H46" s="108">
        <f t="shared" si="5"/>
        <v>30000000</v>
      </c>
    </row>
    <row r="47" spans="1:8" ht="16.5">
      <c r="A47" s="48" t="s">
        <v>189</v>
      </c>
      <c r="B47" s="107" t="s">
        <v>299</v>
      </c>
      <c r="C47" s="107" t="s">
        <v>321</v>
      </c>
      <c r="D47" s="107" t="s">
        <v>323</v>
      </c>
      <c r="E47" s="107" t="s">
        <v>223</v>
      </c>
      <c r="F47" s="108">
        <f>'Приложение 3'!F56</f>
        <v>20291093.749999993</v>
      </c>
      <c r="G47" s="108">
        <f>'Приложение 3'!G56</f>
        <v>30000000</v>
      </c>
      <c r="H47" s="108">
        <f>'Приложение 3'!H56</f>
        <v>30000000</v>
      </c>
    </row>
    <row r="48" spans="1:8" s="37" customFormat="1" ht="16.5">
      <c r="A48" s="70" t="s">
        <v>326</v>
      </c>
      <c r="B48" s="105" t="s">
        <v>299</v>
      </c>
      <c r="C48" s="105" t="s">
        <v>327</v>
      </c>
      <c r="D48" s="105"/>
      <c r="E48" s="105"/>
      <c r="F48" s="106">
        <f>F49+F52+F66</f>
        <v>641658220.61</v>
      </c>
      <c r="G48" s="106">
        <f>G49+G52+G66</f>
        <v>472482842.32</v>
      </c>
      <c r="H48" s="106">
        <f>H49+H52+H66</f>
        <v>472482842.32</v>
      </c>
    </row>
    <row r="49" spans="1:8" ht="51">
      <c r="A49" s="70" t="s">
        <v>252</v>
      </c>
      <c r="B49" s="105" t="s">
        <v>299</v>
      </c>
      <c r="C49" s="105" t="s">
        <v>327</v>
      </c>
      <c r="D49" s="105" t="s">
        <v>253</v>
      </c>
      <c r="E49" s="105"/>
      <c r="F49" s="106">
        <f aca="true" t="shared" si="6" ref="F49:H50">F50</f>
        <v>10018138.44</v>
      </c>
      <c r="G49" s="106">
        <f t="shared" si="6"/>
        <v>9735155</v>
      </c>
      <c r="H49" s="106">
        <f t="shared" si="6"/>
        <v>9735155</v>
      </c>
    </row>
    <row r="50" spans="1:8" ht="16.5">
      <c r="A50" s="48" t="s">
        <v>254</v>
      </c>
      <c r="B50" s="107" t="s">
        <v>299</v>
      </c>
      <c r="C50" s="107" t="s">
        <v>327</v>
      </c>
      <c r="D50" s="107" t="s">
        <v>255</v>
      </c>
      <c r="E50" s="107"/>
      <c r="F50" s="108">
        <f t="shared" si="6"/>
        <v>10018138.44</v>
      </c>
      <c r="G50" s="108">
        <f t="shared" si="6"/>
        <v>9735155</v>
      </c>
      <c r="H50" s="108">
        <f t="shared" si="6"/>
        <v>9735155</v>
      </c>
    </row>
    <row r="51" spans="1:8" ht="33.75">
      <c r="A51" s="48" t="s">
        <v>187</v>
      </c>
      <c r="B51" s="107" t="s">
        <v>299</v>
      </c>
      <c r="C51" s="107" t="s">
        <v>327</v>
      </c>
      <c r="D51" s="107" t="s">
        <v>255</v>
      </c>
      <c r="E51" s="107" t="s">
        <v>244</v>
      </c>
      <c r="F51" s="108">
        <f>'Приложение 2'!D127</f>
        <v>10018138.44</v>
      </c>
      <c r="G51" s="108">
        <f>'Приложение 2'!E127</f>
        <v>9735155</v>
      </c>
      <c r="H51" s="108">
        <f>'Приложение 2'!F127</f>
        <v>9735155</v>
      </c>
    </row>
    <row r="52" spans="1:8" ht="33.75">
      <c r="A52" s="70" t="s">
        <v>259</v>
      </c>
      <c r="B52" s="105" t="s">
        <v>299</v>
      </c>
      <c r="C52" s="105" t="s">
        <v>327</v>
      </c>
      <c r="D52" s="105" t="s">
        <v>260</v>
      </c>
      <c r="E52" s="105"/>
      <c r="F52" s="106">
        <f>F53+F58+F62</f>
        <v>79644558.19999999</v>
      </c>
      <c r="G52" s="106">
        <f>G53+G58+G62</f>
        <v>49068592.46</v>
      </c>
      <c r="H52" s="106">
        <f>H53+H58+H62</f>
        <v>49068592.46</v>
      </c>
    </row>
    <row r="53" spans="1:13" ht="16.5">
      <c r="A53" s="48" t="s">
        <v>184</v>
      </c>
      <c r="B53" s="107" t="s">
        <v>299</v>
      </c>
      <c r="C53" s="107" t="s">
        <v>327</v>
      </c>
      <c r="D53" s="107" t="s">
        <v>261</v>
      </c>
      <c r="E53" s="107"/>
      <c r="F53" s="108">
        <f>SUM(F54:F57)</f>
        <v>34739127.62</v>
      </c>
      <c r="G53" s="108">
        <f>SUM(G54:G57)</f>
        <v>33419089.29</v>
      </c>
      <c r="H53" s="108">
        <f>SUM(H54:H57)</f>
        <v>33419089.29</v>
      </c>
      <c r="M53" s="27"/>
    </row>
    <row r="54" spans="1:8" ht="67.5">
      <c r="A54" s="48" t="s">
        <v>186</v>
      </c>
      <c r="B54" s="107" t="s">
        <v>299</v>
      </c>
      <c r="C54" s="107" t="s">
        <v>327</v>
      </c>
      <c r="D54" s="107" t="s">
        <v>261</v>
      </c>
      <c r="E54" s="107" t="s">
        <v>221</v>
      </c>
      <c r="F54" s="108">
        <f>'Приложение 2'!D133</f>
        <v>32450934.11</v>
      </c>
      <c r="G54" s="108">
        <f>'Приложение 2'!E133</f>
        <v>30799509</v>
      </c>
      <c r="H54" s="108">
        <f>'Приложение 2'!F133</f>
        <v>30799509</v>
      </c>
    </row>
    <row r="55" spans="1:8" ht="33.75">
      <c r="A55" s="48" t="s">
        <v>187</v>
      </c>
      <c r="B55" s="107" t="s">
        <v>299</v>
      </c>
      <c r="C55" s="107" t="s">
        <v>327</v>
      </c>
      <c r="D55" s="107" t="s">
        <v>261</v>
      </c>
      <c r="E55" s="107" t="s">
        <v>244</v>
      </c>
      <c r="F55" s="108">
        <f>'Приложение 2'!D134</f>
        <v>2259852.83</v>
      </c>
      <c r="G55" s="108">
        <f>'Приложение 2'!E134</f>
        <v>2614580.29</v>
      </c>
      <c r="H55" s="108">
        <f>'Приложение 2'!F134</f>
        <v>2614580.29</v>
      </c>
    </row>
    <row r="56" spans="1:8" ht="16.5">
      <c r="A56" s="48" t="s">
        <v>188</v>
      </c>
      <c r="B56" s="107" t="s">
        <v>299</v>
      </c>
      <c r="C56" s="107" t="s">
        <v>327</v>
      </c>
      <c r="D56" s="107" t="s">
        <v>261</v>
      </c>
      <c r="E56" s="107" t="s">
        <v>249</v>
      </c>
      <c r="F56" s="108">
        <f>'Приложение 2'!D135</f>
        <v>23340.68</v>
      </c>
      <c r="G56" s="108">
        <f>'Приложение 2'!E135</f>
        <v>0</v>
      </c>
      <c r="H56" s="108">
        <f>'Приложение 2'!F135</f>
        <v>0</v>
      </c>
    </row>
    <row r="57" spans="1:8" s="138" customFormat="1" ht="16.5">
      <c r="A57" s="48" t="s">
        <v>189</v>
      </c>
      <c r="B57" s="107" t="s">
        <v>299</v>
      </c>
      <c r="C57" s="107" t="s">
        <v>327</v>
      </c>
      <c r="D57" s="107" t="s">
        <v>261</v>
      </c>
      <c r="E57" s="107" t="s">
        <v>223</v>
      </c>
      <c r="F57" s="108">
        <f>'Приложение 2'!D136</f>
        <v>5000</v>
      </c>
      <c r="G57" s="108">
        <f>'Приложение 2'!E136</f>
        <v>5000</v>
      </c>
      <c r="H57" s="108">
        <f>'Приложение 2'!F136</f>
        <v>5000</v>
      </c>
    </row>
    <row r="58" spans="1:8" s="138" customFormat="1" ht="16.5">
      <c r="A58" s="139" t="s">
        <v>262</v>
      </c>
      <c r="B58" s="105" t="s">
        <v>299</v>
      </c>
      <c r="C58" s="105" t="s">
        <v>327</v>
      </c>
      <c r="D58" s="105" t="s">
        <v>263</v>
      </c>
      <c r="E58" s="105"/>
      <c r="F58" s="106">
        <f>F59+F60+F61</f>
        <v>35851491.58</v>
      </c>
      <c r="G58" s="106">
        <f>G59+G60+G61</f>
        <v>12005877.25</v>
      </c>
      <c r="H58" s="106">
        <f>H59+H60+H61</f>
        <v>12005877.25</v>
      </c>
    </row>
    <row r="59" spans="1:8" s="138" customFormat="1" ht="33.75">
      <c r="A59" s="48" t="s">
        <v>187</v>
      </c>
      <c r="B59" s="107" t="s">
        <v>299</v>
      </c>
      <c r="C59" s="107" t="s">
        <v>327</v>
      </c>
      <c r="D59" s="107" t="s">
        <v>263</v>
      </c>
      <c r="E59" s="107" t="s">
        <v>244</v>
      </c>
      <c r="F59" s="108">
        <f>'Приложение 2'!D138</f>
        <v>15515922.57</v>
      </c>
      <c r="G59" s="108">
        <f>'Приложение 2'!E138</f>
        <v>11995877.25</v>
      </c>
      <c r="H59" s="108">
        <f>'Приложение 2'!F138</f>
        <v>11995877.25</v>
      </c>
    </row>
    <row r="60" spans="1:8" s="138" customFormat="1" ht="33.75">
      <c r="A60" s="48" t="s">
        <v>264</v>
      </c>
      <c r="B60" s="107" t="s">
        <v>299</v>
      </c>
      <c r="C60" s="107" t="s">
        <v>327</v>
      </c>
      <c r="D60" s="107" t="s">
        <v>263</v>
      </c>
      <c r="E60" s="107" t="s">
        <v>258</v>
      </c>
      <c r="F60" s="108">
        <f>4561714.79+2500000+2839134.82+5985000+439719.4</f>
        <v>16325569.01</v>
      </c>
      <c r="G60" s="108">
        <v>0</v>
      </c>
      <c r="H60" s="108">
        <v>0</v>
      </c>
    </row>
    <row r="61" spans="1:8" s="138" customFormat="1" ht="16.5">
      <c r="A61" s="48" t="s">
        <v>189</v>
      </c>
      <c r="B61" s="107" t="s">
        <v>299</v>
      </c>
      <c r="C61" s="107" t="s">
        <v>327</v>
      </c>
      <c r="D61" s="107" t="s">
        <v>263</v>
      </c>
      <c r="E61" s="107" t="s">
        <v>223</v>
      </c>
      <c r="F61" s="108">
        <f>'Приложение 2'!D140</f>
        <v>4010000</v>
      </c>
      <c r="G61" s="108">
        <f>'Приложение 2'!E140</f>
        <v>10000</v>
      </c>
      <c r="H61" s="108">
        <f>'Приложение 2'!F140</f>
        <v>10000</v>
      </c>
    </row>
    <row r="62" spans="1:8" s="138" customFormat="1" ht="16.5">
      <c r="A62" s="65" t="s">
        <v>265</v>
      </c>
      <c r="B62" s="105" t="s">
        <v>299</v>
      </c>
      <c r="C62" s="105" t="s">
        <v>327</v>
      </c>
      <c r="D62" s="105" t="s">
        <v>266</v>
      </c>
      <c r="E62" s="105"/>
      <c r="F62" s="106">
        <f>F63+F64+F65</f>
        <v>9053939</v>
      </c>
      <c r="G62" s="106">
        <f>G63+G64+G65</f>
        <v>3643625.92</v>
      </c>
      <c r="H62" s="106">
        <f>H63+H64+H65</f>
        <v>3643625.92</v>
      </c>
    </row>
    <row r="63" spans="1:8" ht="33.75">
      <c r="A63" s="48" t="s">
        <v>187</v>
      </c>
      <c r="B63" s="107" t="s">
        <v>299</v>
      </c>
      <c r="C63" s="107" t="s">
        <v>327</v>
      </c>
      <c r="D63" s="107" t="s">
        <v>266</v>
      </c>
      <c r="E63" s="107" t="s">
        <v>244</v>
      </c>
      <c r="F63" s="108">
        <f>'Приложение 2'!D142</f>
        <v>9053939</v>
      </c>
      <c r="G63" s="108">
        <f>'Приложение 2'!E142</f>
        <v>3643625.92</v>
      </c>
      <c r="H63" s="108">
        <f>'Приложение 2'!F142</f>
        <v>3643625.92</v>
      </c>
    </row>
    <row r="64" spans="1:8" ht="33.75">
      <c r="A64" s="48" t="s">
        <v>264</v>
      </c>
      <c r="B64" s="107" t="s">
        <v>299</v>
      </c>
      <c r="C64" s="107" t="s">
        <v>327</v>
      </c>
      <c r="D64" s="107" t="s">
        <v>266</v>
      </c>
      <c r="E64" s="107" t="s">
        <v>258</v>
      </c>
      <c r="F64" s="108">
        <f>'Приложение 2'!D143</f>
        <v>0</v>
      </c>
      <c r="G64" s="108">
        <f>'Приложение 2'!E143</f>
        <v>0</v>
      </c>
      <c r="H64" s="108">
        <f>'Приложение 2'!F143</f>
        <v>0</v>
      </c>
    </row>
    <row r="65" spans="1:8" ht="16.5">
      <c r="A65" s="48" t="s">
        <v>189</v>
      </c>
      <c r="B65" s="107" t="s">
        <v>299</v>
      </c>
      <c r="C65" s="107" t="s">
        <v>327</v>
      </c>
      <c r="D65" s="107" t="s">
        <v>266</v>
      </c>
      <c r="E65" s="107" t="s">
        <v>223</v>
      </c>
      <c r="F65" s="108">
        <f>'Приложение 2'!D144</f>
        <v>0</v>
      </c>
      <c r="G65" s="108">
        <f>'Приложение 2'!E144</f>
        <v>0</v>
      </c>
      <c r="H65" s="108">
        <f>'Приложение 2'!F144</f>
        <v>0</v>
      </c>
    </row>
    <row r="66" spans="1:8" ht="16.5">
      <c r="A66" s="70" t="s">
        <v>302</v>
      </c>
      <c r="B66" s="105" t="s">
        <v>299</v>
      </c>
      <c r="C66" s="105" t="s">
        <v>327</v>
      </c>
      <c r="D66" s="101">
        <v>9900000000</v>
      </c>
      <c r="E66" s="105"/>
      <c r="F66" s="106">
        <f>F67+F73</f>
        <v>551995523.97</v>
      </c>
      <c r="G66" s="106">
        <f>G67+G73</f>
        <v>413679094.86</v>
      </c>
      <c r="H66" s="106">
        <f>H67+H73</f>
        <v>413679094.86</v>
      </c>
    </row>
    <row r="67" spans="1:8" ht="33.75">
      <c r="A67" s="48" t="s">
        <v>304</v>
      </c>
      <c r="B67" s="107" t="s">
        <v>299</v>
      </c>
      <c r="C67" s="107" t="s">
        <v>327</v>
      </c>
      <c r="D67" s="98">
        <v>9910000000</v>
      </c>
      <c r="E67" s="107"/>
      <c r="F67" s="108">
        <f>SUM(F68:F72)</f>
        <v>446950562.29</v>
      </c>
      <c r="G67" s="108">
        <f>SUM(G68:G72)</f>
        <v>408093714.86</v>
      </c>
      <c r="H67" s="108">
        <f>SUM(H68:H72)</f>
        <v>408093714.86</v>
      </c>
    </row>
    <row r="68" spans="1:8" ht="67.5">
      <c r="A68" s="48" t="s">
        <v>186</v>
      </c>
      <c r="B68" s="107" t="s">
        <v>299</v>
      </c>
      <c r="C68" s="107" t="s">
        <v>327</v>
      </c>
      <c r="D68" s="98">
        <v>9910000000</v>
      </c>
      <c r="E68" s="107" t="s">
        <v>221</v>
      </c>
      <c r="F68" s="108">
        <f>'Приложение 3'!F61+'Приложение 3'!F63+'Приложение 3'!F65+'Приложение 3'!F71+'Приложение 3'!F75+'Приложение 3'!F79</f>
        <v>138264673.6</v>
      </c>
      <c r="G68" s="108">
        <f>'Приложение 3'!G61+'Приложение 3'!G63+'Приложение 3'!G65+'Приложение 3'!G71+'Приложение 3'!G75+'Приложение 3'!G79</f>
        <v>131394775.41999999</v>
      </c>
      <c r="H68" s="108">
        <f>'Приложение 3'!H61+'Приложение 3'!H63+'Приложение 3'!H65+'Приложение 3'!H71+'Приложение 3'!H75+'Приложение 3'!H79</f>
        <v>131394775.41999999</v>
      </c>
    </row>
    <row r="69" spans="1:8" ht="33.75">
      <c r="A69" s="48" t="s">
        <v>187</v>
      </c>
      <c r="B69" s="107" t="s">
        <v>299</v>
      </c>
      <c r="C69" s="107" t="s">
        <v>327</v>
      </c>
      <c r="D69" s="98">
        <v>9910000000</v>
      </c>
      <c r="E69" s="107" t="s">
        <v>244</v>
      </c>
      <c r="F69" s="108">
        <f>'Приложение 3'!F66+'Приложение 3'!F72+'Приложение 3'!F76+'Приложение 3'!F80</f>
        <v>16840793.62</v>
      </c>
      <c r="G69" s="108">
        <f>'Приложение 3'!G66+'Приложение 3'!G72+'Приложение 3'!G76+'Приложение 3'!G80</f>
        <v>18789326.62</v>
      </c>
      <c r="H69" s="108">
        <f>'Приложение 3'!H66+'Приложение 3'!H72+'Приложение 3'!H76+'Приложение 3'!H80</f>
        <v>18789326.62</v>
      </c>
    </row>
    <row r="70" spans="1:8" ht="16.5">
      <c r="A70" s="48" t="s">
        <v>188</v>
      </c>
      <c r="B70" s="107" t="s">
        <v>299</v>
      </c>
      <c r="C70" s="107" t="s">
        <v>327</v>
      </c>
      <c r="D70" s="98">
        <v>9910000000</v>
      </c>
      <c r="E70" s="107" t="s">
        <v>249</v>
      </c>
      <c r="F70" s="108">
        <f>'Приложение 3'!F73+'Приложение 3'!F81</f>
        <v>3450.84</v>
      </c>
      <c r="G70" s="108">
        <f>'Приложение 3'!G73+'Приложение 3'!G81</f>
        <v>0</v>
      </c>
      <c r="H70" s="108">
        <f>'Приложение 3'!H73+'Приложение 3'!H81</f>
        <v>0</v>
      </c>
    </row>
    <row r="71" spans="1:8" ht="33.75">
      <c r="A71" s="46" t="s">
        <v>196</v>
      </c>
      <c r="B71" s="107" t="s">
        <v>299</v>
      </c>
      <c r="C71" s="107" t="s">
        <v>327</v>
      </c>
      <c r="D71" s="98">
        <v>9910000000</v>
      </c>
      <c r="E71" s="107" t="s">
        <v>329</v>
      </c>
      <c r="F71" s="108">
        <f>'Приложение 3'!F69</f>
        <v>290760354.23</v>
      </c>
      <c r="G71" s="108">
        <f>'Приложение 3'!G69</f>
        <v>256831322.82</v>
      </c>
      <c r="H71" s="108">
        <f>'Приложение 3'!H69</f>
        <v>256831322.82</v>
      </c>
    </row>
    <row r="72" spans="1:8" ht="16.5">
      <c r="A72" s="48" t="s">
        <v>189</v>
      </c>
      <c r="B72" s="107" t="s">
        <v>299</v>
      </c>
      <c r="C72" s="107" t="s">
        <v>327</v>
      </c>
      <c r="D72" s="98">
        <v>9910000000</v>
      </c>
      <c r="E72" s="107" t="s">
        <v>223</v>
      </c>
      <c r="F72" s="108">
        <f>'Приложение 3'!F77+'Приложение 3'!F67</f>
        <v>1081290</v>
      </c>
      <c r="G72" s="108">
        <f>'Приложение 3'!G77+'Приложение 3'!G67</f>
        <v>1078290</v>
      </c>
      <c r="H72" s="108">
        <f>'Приложение 3'!H77+'Приложение 3'!H67</f>
        <v>1078290</v>
      </c>
    </row>
    <row r="73" spans="1:8" s="138" customFormat="1" ht="16.5">
      <c r="A73" s="48" t="s">
        <v>322</v>
      </c>
      <c r="B73" s="107" t="s">
        <v>299</v>
      </c>
      <c r="C73" s="107" t="s">
        <v>327</v>
      </c>
      <c r="D73" s="107" t="s">
        <v>323</v>
      </c>
      <c r="E73" s="107"/>
      <c r="F73" s="108">
        <f>SUM(F74:F77)</f>
        <v>105044961.68</v>
      </c>
      <c r="G73" s="108">
        <f>SUM(G74:G77)</f>
        <v>5585380</v>
      </c>
      <c r="H73" s="108">
        <f>SUM(H74:H77)</f>
        <v>5585380</v>
      </c>
    </row>
    <row r="74" spans="1:8" s="136" customFormat="1" ht="33.75">
      <c r="A74" s="48" t="s">
        <v>187</v>
      </c>
      <c r="B74" s="107" t="s">
        <v>299</v>
      </c>
      <c r="C74" s="107" t="s">
        <v>327</v>
      </c>
      <c r="D74" s="107" t="s">
        <v>323</v>
      </c>
      <c r="E74" s="107" t="s">
        <v>244</v>
      </c>
      <c r="F74" s="108">
        <f>'Приложение 3'!F86+'Приложение 3'!F91</f>
        <v>58627257.17</v>
      </c>
      <c r="G74" s="108">
        <f>'Приложение 3'!G86</f>
        <v>5355500</v>
      </c>
      <c r="H74" s="108">
        <f>'Приложение 3'!H86</f>
        <v>5355500</v>
      </c>
    </row>
    <row r="75" spans="1:8" s="138" customFormat="1" ht="16.5">
      <c r="A75" s="48" t="s">
        <v>188</v>
      </c>
      <c r="B75" s="107" t="s">
        <v>299</v>
      </c>
      <c r="C75" s="107" t="s">
        <v>327</v>
      </c>
      <c r="D75" s="107" t="s">
        <v>323</v>
      </c>
      <c r="E75" s="107" t="s">
        <v>249</v>
      </c>
      <c r="F75" s="108">
        <f>'Приложение 3'!F93+'Приложение 3'!F87</f>
        <v>3265744.5</v>
      </c>
      <c r="G75" s="108">
        <f>'Приложение 3'!G93+'Приложение 3'!G87</f>
        <v>229880</v>
      </c>
      <c r="H75" s="108">
        <f>'Приложение 3'!H93+'Приложение 3'!H87</f>
        <v>229880</v>
      </c>
    </row>
    <row r="76" spans="1:8" s="138" customFormat="1" ht="33.75">
      <c r="A76" s="46" t="s">
        <v>196</v>
      </c>
      <c r="B76" s="107" t="s">
        <v>299</v>
      </c>
      <c r="C76" s="107" t="s">
        <v>327</v>
      </c>
      <c r="D76" s="107" t="s">
        <v>323</v>
      </c>
      <c r="E76" s="107" t="s">
        <v>329</v>
      </c>
      <c r="F76" s="108">
        <f>'Приложение 3'!F88</f>
        <v>14418402.719999999</v>
      </c>
      <c r="G76" s="108">
        <f>'Приложение 3'!G88</f>
        <v>0</v>
      </c>
      <c r="H76" s="108">
        <f>'Приложение 3'!H88</f>
        <v>0</v>
      </c>
    </row>
    <row r="77" spans="1:8" s="138" customFormat="1" ht="16.5">
      <c r="A77" s="48" t="s">
        <v>189</v>
      </c>
      <c r="B77" s="107" t="s">
        <v>299</v>
      </c>
      <c r="C77" s="107" t="s">
        <v>327</v>
      </c>
      <c r="D77" s="107" t="s">
        <v>323</v>
      </c>
      <c r="E77" s="107" t="s">
        <v>223</v>
      </c>
      <c r="F77" s="108">
        <f>'Приложение 3'!F95+'Приложение 3'!F97+'Приложение 3'!F84+'Приложение 3'!F89</f>
        <v>28733557.29</v>
      </c>
      <c r="G77" s="108">
        <f>'Приложение 3'!G95+'Приложение 3'!G97</f>
        <v>0</v>
      </c>
      <c r="H77" s="108">
        <f>'Приложение 3'!H95+'Приложение 3'!H97</f>
        <v>0</v>
      </c>
    </row>
    <row r="78" spans="1:8" s="140" customFormat="1" ht="33.75">
      <c r="A78" s="70" t="s">
        <v>334</v>
      </c>
      <c r="B78" s="105" t="s">
        <v>309</v>
      </c>
      <c r="C78" s="105"/>
      <c r="D78" s="105"/>
      <c r="E78" s="105"/>
      <c r="F78" s="106">
        <f aca="true" t="shared" si="7" ref="F78:H79">F79</f>
        <v>15019222.91</v>
      </c>
      <c r="G78" s="106">
        <f t="shared" si="7"/>
        <v>14655349</v>
      </c>
      <c r="H78" s="106">
        <f t="shared" si="7"/>
        <v>14655349</v>
      </c>
    </row>
    <row r="79" spans="1:8" s="140" customFormat="1" ht="67.5">
      <c r="A79" s="70" t="s">
        <v>335</v>
      </c>
      <c r="B79" s="105" t="s">
        <v>309</v>
      </c>
      <c r="C79" s="105" t="s">
        <v>336</v>
      </c>
      <c r="D79" s="105"/>
      <c r="E79" s="105"/>
      <c r="F79" s="106">
        <f t="shared" si="7"/>
        <v>15019222.91</v>
      </c>
      <c r="G79" s="106">
        <f t="shared" si="7"/>
        <v>14655349</v>
      </c>
      <c r="H79" s="106">
        <f t="shared" si="7"/>
        <v>14655349</v>
      </c>
    </row>
    <row r="80" spans="1:8" s="138" customFormat="1" ht="16.5">
      <c r="A80" s="66" t="s">
        <v>302</v>
      </c>
      <c r="B80" s="105" t="s">
        <v>309</v>
      </c>
      <c r="C80" s="105" t="s">
        <v>336</v>
      </c>
      <c r="D80" s="101">
        <v>9900000000</v>
      </c>
      <c r="E80" s="101"/>
      <c r="F80" s="106">
        <f>F81+F85</f>
        <v>15019222.91</v>
      </c>
      <c r="G80" s="106">
        <f>G81+G85</f>
        <v>14655349</v>
      </c>
      <c r="H80" s="106">
        <f>H81+H85</f>
        <v>14655349</v>
      </c>
    </row>
    <row r="81" spans="1:8" s="138" customFormat="1" ht="33.75">
      <c r="A81" s="48" t="s">
        <v>304</v>
      </c>
      <c r="B81" s="107" t="s">
        <v>309</v>
      </c>
      <c r="C81" s="107" t="s">
        <v>336</v>
      </c>
      <c r="D81" s="98">
        <v>9910000000</v>
      </c>
      <c r="E81" s="98"/>
      <c r="F81" s="108">
        <f>SUM(F82:F84)</f>
        <v>14019222.91</v>
      </c>
      <c r="G81" s="108">
        <f>SUM(G82:G84)</f>
        <v>13155349</v>
      </c>
      <c r="H81" s="108">
        <f>SUM(H82:H84)</f>
        <v>13155349</v>
      </c>
    </row>
    <row r="82" spans="1:8" s="138" customFormat="1" ht="67.5">
      <c r="A82" s="48" t="s">
        <v>186</v>
      </c>
      <c r="B82" s="107" t="s">
        <v>309</v>
      </c>
      <c r="C82" s="107" t="s">
        <v>336</v>
      </c>
      <c r="D82" s="98">
        <v>9910000000</v>
      </c>
      <c r="E82" s="107" t="s">
        <v>221</v>
      </c>
      <c r="F82" s="108">
        <f>'Приложение 3'!F103</f>
        <v>10643176.91</v>
      </c>
      <c r="G82" s="108">
        <f>'Приложение 3'!G103</f>
        <v>9415554</v>
      </c>
      <c r="H82" s="108">
        <f>'Приложение 3'!H103</f>
        <v>9415554</v>
      </c>
    </row>
    <row r="83" spans="1:8" s="138" customFormat="1" ht="33.75">
      <c r="A83" s="48" t="s">
        <v>187</v>
      </c>
      <c r="B83" s="107" t="s">
        <v>309</v>
      </c>
      <c r="C83" s="107" t="s">
        <v>336</v>
      </c>
      <c r="D83" s="98">
        <v>9910000000</v>
      </c>
      <c r="E83" s="107" t="s">
        <v>244</v>
      </c>
      <c r="F83" s="108">
        <f>'Приложение 3'!F104</f>
        <v>3374966</v>
      </c>
      <c r="G83" s="108">
        <f>'Приложение 3'!G104</f>
        <v>3738715</v>
      </c>
      <c r="H83" s="108">
        <f>'Приложение 3'!H104</f>
        <v>3738715</v>
      </c>
    </row>
    <row r="84" spans="1:8" s="138" customFormat="1" ht="16.5">
      <c r="A84" s="48" t="s">
        <v>189</v>
      </c>
      <c r="B84" s="107" t="s">
        <v>309</v>
      </c>
      <c r="C84" s="107" t="s">
        <v>336</v>
      </c>
      <c r="D84" s="98">
        <v>9910000000</v>
      </c>
      <c r="E84" s="98">
        <v>800</v>
      </c>
      <c r="F84" s="108">
        <f>'Приложение 3'!F105</f>
        <v>1080</v>
      </c>
      <c r="G84" s="108">
        <f>'Приложение 3'!G105</f>
        <v>1080</v>
      </c>
      <c r="H84" s="108">
        <f>'Приложение 3'!H105</f>
        <v>1080</v>
      </c>
    </row>
    <row r="85" spans="1:8" s="138" customFormat="1" ht="16.5">
      <c r="A85" s="48" t="s">
        <v>322</v>
      </c>
      <c r="B85" s="107" t="s">
        <v>309</v>
      </c>
      <c r="C85" s="107" t="s">
        <v>336</v>
      </c>
      <c r="D85" s="98">
        <v>9950000000</v>
      </c>
      <c r="E85" s="98"/>
      <c r="F85" s="108">
        <f>F86</f>
        <v>1000000</v>
      </c>
      <c r="G85" s="108">
        <f>G86</f>
        <v>1500000</v>
      </c>
      <c r="H85" s="108">
        <f>H86</f>
        <v>1500000</v>
      </c>
    </row>
    <row r="86" spans="1:8" s="138" customFormat="1" ht="33.75">
      <c r="A86" s="48" t="s">
        <v>187</v>
      </c>
      <c r="B86" s="107" t="s">
        <v>309</v>
      </c>
      <c r="C86" s="107" t="s">
        <v>336</v>
      </c>
      <c r="D86" s="98">
        <v>9950000000</v>
      </c>
      <c r="E86" s="98">
        <v>200</v>
      </c>
      <c r="F86" s="108">
        <f>'Приложение 3'!F108</f>
        <v>1000000</v>
      </c>
      <c r="G86" s="108">
        <f>'Приложение 3'!G108</f>
        <v>1500000</v>
      </c>
      <c r="H86" s="108">
        <f>'Приложение 3'!H108</f>
        <v>1500000</v>
      </c>
    </row>
    <row r="87" spans="1:8" s="140" customFormat="1" ht="16.5">
      <c r="A87" s="70" t="s">
        <v>339</v>
      </c>
      <c r="B87" s="105" t="s">
        <v>313</v>
      </c>
      <c r="C87" s="105"/>
      <c r="D87" s="105"/>
      <c r="E87" s="105"/>
      <c r="F87" s="106">
        <f>F88+F92+F105+F112+F120+F116</f>
        <v>292879660.90999997</v>
      </c>
      <c r="G87" s="106">
        <f>G88+G92+G105+G112+G120</f>
        <v>104772258.22</v>
      </c>
      <c r="H87" s="106">
        <f>H88+H92+H105+H112+H120</f>
        <v>105663739.58</v>
      </c>
    </row>
    <row r="88" spans="1:8" s="140" customFormat="1" ht="16.5">
      <c r="A88" s="70" t="s">
        <v>340</v>
      </c>
      <c r="B88" s="105" t="s">
        <v>313</v>
      </c>
      <c r="C88" s="105" t="s">
        <v>299</v>
      </c>
      <c r="D88" s="105"/>
      <c r="E88" s="105"/>
      <c r="F88" s="106">
        <f aca="true" t="shared" si="8" ref="F88:H90">F89</f>
        <v>305784.54999999993</v>
      </c>
      <c r="G88" s="106">
        <f t="shared" si="8"/>
        <v>847554.33</v>
      </c>
      <c r="H88" s="106">
        <f t="shared" si="8"/>
        <v>847554.33</v>
      </c>
    </row>
    <row r="89" spans="1:8" s="140" customFormat="1" ht="16.5">
      <c r="A89" s="70" t="s">
        <v>302</v>
      </c>
      <c r="B89" s="105" t="s">
        <v>313</v>
      </c>
      <c r="C89" s="105" t="s">
        <v>299</v>
      </c>
      <c r="D89" s="105">
        <v>9900000000</v>
      </c>
      <c r="E89" s="105"/>
      <c r="F89" s="106">
        <f t="shared" si="8"/>
        <v>305784.54999999993</v>
      </c>
      <c r="G89" s="106">
        <f t="shared" si="8"/>
        <v>847554.33</v>
      </c>
      <c r="H89" s="106">
        <f t="shared" si="8"/>
        <v>847554.33</v>
      </c>
    </row>
    <row r="90" spans="1:8" s="140" customFormat="1" ht="33.75">
      <c r="A90" s="48" t="s">
        <v>304</v>
      </c>
      <c r="B90" s="107" t="s">
        <v>313</v>
      </c>
      <c r="C90" s="107" t="s">
        <v>299</v>
      </c>
      <c r="D90" s="107" t="s">
        <v>305</v>
      </c>
      <c r="E90" s="107"/>
      <c r="F90" s="108">
        <f t="shared" si="8"/>
        <v>305784.54999999993</v>
      </c>
      <c r="G90" s="108">
        <f t="shared" si="8"/>
        <v>847554.33</v>
      </c>
      <c r="H90" s="108">
        <f t="shared" si="8"/>
        <v>847554.33</v>
      </c>
    </row>
    <row r="91" spans="1:8" s="140" customFormat="1" ht="67.5">
      <c r="A91" s="48" t="s">
        <v>186</v>
      </c>
      <c r="B91" s="107" t="s">
        <v>313</v>
      </c>
      <c r="C91" s="107" t="s">
        <v>299</v>
      </c>
      <c r="D91" s="107" t="s">
        <v>305</v>
      </c>
      <c r="E91" s="107" t="s">
        <v>221</v>
      </c>
      <c r="F91" s="108">
        <f>'Приложение 3'!F114</f>
        <v>305784.54999999993</v>
      </c>
      <c r="G91" s="108">
        <f>'Приложение 3'!G114</f>
        <v>847554.33</v>
      </c>
      <c r="H91" s="108">
        <f>'Приложение 3'!H114</f>
        <v>847554.33</v>
      </c>
    </row>
    <row r="92" spans="1:8" s="140" customFormat="1" ht="16.5">
      <c r="A92" s="70" t="s">
        <v>341</v>
      </c>
      <c r="B92" s="105" t="s">
        <v>313</v>
      </c>
      <c r="C92" s="105" t="s">
        <v>342</v>
      </c>
      <c r="D92" s="105"/>
      <c r="E92" s="105"/>
      <c r="F92" s="106">
        <f>F93+F99</f>
        <v>123028447.82999998</v>
      </c>
      <c r="G92" s="106">
        <f>G93+G99</f>
        <v>66602509.39</v>
      </c>
      <c r="H92" s="106">
        <f>H93+H99</f>
        <v>67493990.75</v>
      </c>
    </row>
    <row r="93" spans="1:8" s="140" customFormat="1" ht="67.5">
      <c r="A93" s="70" t="s">
        <v>217</v>
      </c>
      <c r="B93" s="105" t="s">
        <v>313</v>
      </c>
      <c r="C93" s="105" t="s">
        <v>342</v>
      </c>
      <c r="D93" s="105" t="s">
        <v>218</v>
      </c>
      <c r="E93" s="105"/>
      <c r="F93" s="106">
        <f>F94+F97</f>
        <v>99205561.61999999</v>
      </c>
      <c r="G93" s="106">
        <f>G94+G97</f>
        <v>61634121.07</v>
      </c>
      <c r="H93" s="106">
        <f>H94+H97</f>
        <v>62525602.43</v>
      </c>
    </row>
    <row r="94" spans="1:8" s="140" customFormat="1" ht="16.5">
      <c r="A94" s="48" t="s">
        <v>219</v>
      </c>
      <c r="B94" s="107" t="s">
        <v>313</v>
      </c>
      <c r="C94" s="107" t="s">
        <v>342</v>
      </c>
      <c r="D94" s="107" t="s">
        <v>220</v>
      </c>
      <c r="E94" s="107"/>
      <c r="F94" s="108">
        <f>F95+F96</f>
        <v>1907618.8499999999</v>
      </c>
      <c r="G94" s="108">
        <f>G95+G96</f>
        <v>2491566.61</v>
      </c>
      <c r="H94" s="108">
        <f>H95+H96</f>
        <v>2491566.61</v>
      </c>
    </row>
    <row r="95" spans="1:8" s="140" customFormat="1" ht="67.5">
      <c r="A95" s="48" t="s">
        <v>186</v>
      </c>
      <c r="B95" s="107" t="s">
        <v>313</v>
      </c>
      <c r="C95" s="107" t="s">
        <v>342</v>
      </c>
      <c r="D95" s="107" t="s">
        <v>220</v>
      </c>
      <c r="E95" s="107" t="s">
        <v>221</v>
      </c>
      <c r="F95" s="108">
        <f>'Приложение 2'!D78</f>
        <v>711398.6599999999</v>
      </c>
      <c r="G95" s="108">
        <f>'Приложение 2'!E78</f>
        <v>1295346.42</v>
      </c>
      <c r="H95" s="108">
        <f>'Приложение 2'!F78</f>
        <v>1295346.42</v>
      </c>
    </row>
    <row r="96" spans="1:8" s="140" customFormat="1" ht="33.75">
      <c r="A96" s="46" t="s">
        <v>187</v>
      </c>
      <c r="B96" s="107" t="s">
        <v>313</v>
      </c>
      <c r="C96" s="107" t="s">
        <v>342</v>
      </c>
      <c r="D96" s="107" t="s">
        <v>220</v>
      </c>
      <c r="E96" s="125">
        <v>200</v>
      </c>
      <c r="F96" s="108">
        <f>'Приложение 2'!D79</f>
        <v>1196220.19</v>
      </c>
      <c r="G96" s="108">
        <f>'Приложение 2'!E79</f>
        <v>1196220.19</v>
      </c>
      <c r="H96" s="108">
        <f>'Приложение 2'!F79</f>
        <v>1196220.19</v>
      </c>
    </row>
    <row r="97" spans="1:8" s="140" customFormat="1" ht="33.75">
      <c r="A97" s="46" t="s">
        <v>292</v>
      </c>
      <c r="B97" s="107" t="s">
        <v>313</v>
      </c>
      <c r="C97" s="107" t="s">
        <v>342</v>
      </c>
      <c r="D97" s="107" t="s">
        <v>291</v>
      </c>
      <c r="E97" s="125"/>
      <c r="F97" s="108">
        <f>F98</f>
        <v>97297942.77</v>
      </c>
      <c r="G97" s="108">
        <f>G98</f>
        <v>59142554.46</v>
      </c>
      <c r="H97" s="108">
        <f>H98</f>
        <v>60034035.82</v>
      </c>
    </row>
    <row r="98" spans="1:8" s="140" customFormat="1" ht="16.5">
      <c r="A98" s="46" t="s">
        <v>189</v>
      </c>
      <c r="B98" s="107" t="s">
        <v>313</v>
      </c>
      <c r="C98" s="107" t="s">
        <v>342</v>
      </c>
      <c r="D98" s="107" t="s">
        <v>291</v>
      </c>
      <c r="E98" s="125">
        <v>800</v>
      </c>
      <c r="F98" s="108">
        <f>'Приложение 2'!D82+'Приложение 2'!D84+'Приложение 2'!D86+'Приложение 2'!D88+'Приложение 2'!D90</f>
        <v>97297942.77</v>
      </c>
      <c r="G98" s="108">
        <f>'Приложение 2'!E82+'Приложение 2'!E84+'Приложение 2'!E86+'Приложение 2'!E88+'Приложение 2'!E90</f>
        <v>59142554.46</v>
      </c>
      <c r="H98" s="108">
        <f>'Приложение 2'!F82+'Приложение 2'!F84+'Приложение 2'!F86+'Приложение 2'!F88+'Приложение 2'!F90</f>
        <v>60034035.82</v>
      </c>
    </row>
    <row r="99" spans="1:8" s="140" customFormat="1" ht="16.5">
      <c r="A99" s="66" t="s">
        <v>302</v>
      </c>
      <c r="B99" s="105" t="s">
        <v>313</v>
      </c>
      <c r="C99" s="105" t="s">
        <v>342</v>
      </c>
      <c r="D99" s="105">
        <v>9900000000</v>
      </c>
      <c r="E99" s="98"/>
      <c r="F99" s="108">
        <f>F100+F102</f>
        <v>23822886.21</v>
      </c>
      <c r="G99" s="108">
        <f>G100+G102</f>
        <v>4968388.32</v>
      </c>
      <c r="H99" s="108">
        <f>H100+H102</f>
        <v>4968388.32</v>
      </c>
    </row>
    <row r="100" spans="1:8" s="140" customFormat="1" ht="33.75">
      <c r="A100" s="48" t="s">
        <v>304</v>
      </c>
      <c r="B100" s="107" t="s">
        <v>313</v>
      </c>
      <c r="C100" s="107" t="s">
        <v>342</v>
      </c>
      <c r="D100" s="107">
        <v>9910000000</v>
      </c>
      <c r="E100" s="98"/>
      <c r="F100" s="108">
        <f>F101</f>
        <v>5343610.99</v>
      </c>
      <c r="G100" s="108">
        <f>G101</f>
        <v>4968388.32</v>
      </c>
      <c r="H100" s="108">
        <f>H101</f>
        <v>4968388.32</v>
      </c>
    </row>
    <row r="101" spans="1:8" s="140" customFormat="1" ht="67.5">
      <c r="A101" s="46" t="s">
        <v>186</v>
      </c>
      <c r="B101" s="107" t="s">
        <v>313</v>
      </c>
      <c r="C101" s="107" t="s">
        <v>342</v>
      </c>
      <c r="D101" s="107">
        <v>9910000000</v>
      </c>
      <c r="E101" s="98" t="s">
        <v>221</v>
      </c>
      <c r="F101" s="108">
        <f>'Приложение 3'!F119</f>
        <v>5343610.99</v>
      </c>
      <c r="G101" s="108">
        <f>'Приложение 3'!G119</f>
        <v>4968388.32</v>
      </c>
      <c r="H101" s="108">
        <f>'Приложение 3'!H119</f>
        <v>4968388.32</v>
      </c>
    </row>
    <row r="102" spans="1:8" s="140" customFormat="1" ht="16.5">
      <c r="A102" s="48" t="s">
        <v>322</v>
      </c>
      <c r="B102" s="107" t="s">
        <v>313</v>
      </c>
      <c r="C102" s="107" t="s">
        <v>342</v>
      </c>
      <c r="D102" s="112" t="s">
        <v>323</v>
      </c>
      <c r="E102" s="98"/>
      <c r="F102" s="108">
        <f>F104+F103</f>
        <v>18479275.22</v>
      </c>
      <c r="G102" s="108">
        <f>G104+G103</f>
        <v>0</v>
      </c>
      <c r="H102" s="108">
        <f>H104+H103</f>
        <v>0</v>
      </c>
    </row>
    <row r="103" spans="1:8" s="140" customFormat="1" ht="16.5">
      <c r="A103" s="48" t="s">
        <v>188</v>
      </c>
      <c r="B103" s="107" t="s">
        <v>313</v>
      </c>
      <c r="C103" s="107" t="s">
        <v>342</v>
      </c>
      <c r="D103" s="112" t="s">
        <v>323</v>
      </c>
      <c r="E103" s="98">
        <v>300</v>
      </c>
      <c r="F103" s="108">
        <f>'Приложение 3'!F122</f>
        <v>460000</v>
      </c>
      <c r="G103" s="108">
        <f>'Приложение 3'!G122</f>
        <v>0</v>
      </c>
      <c r="H103" s="108">
        <f>'Приложение 3'!H122</f>
        <v>0</v>
      </c>
    </row>
    <row r="104" spans="1:8" s="140" customFormat="1" ht="16.5">
      <c r="A104" s="46" t="s">
        <v>189</v>
      </c>
      <c r="B104" s="107" t="s">
        <v>313</v>
      </c>
      <c r="C104" s="107" t="s">
        <v>342</v>
      </c>
      <c r="D104" s="112" t="s">
        <v>323</v>
      </c>
      <c r="E104" s="98">
        <v>800</v>
      </c>
      <c r="F104" s="108">
        <f>'Приложение 3'!F123</f>
        <v>18019275.22</v>
      </c>
      <c r="G104" s="108">
        <f>'Приложение 3'!G123</f>
        <v>0</v>
      </c>
      <c r="H104" s="108">
        <f>'Приложение 3'!H123</f>
        <v>0</v>
      </c>
    </row>
    <row r="105" spans="1:8" s="140" customFormat="1" ht="16.5">
      <c r="A105" s="66" t="s">
        <v>394</v>
      </c>
      <c r="B105" s="105" t="s">
        <v>313</v>
      </c>
      <c r="C105" s="105" t="s">
        <v>360</v>
      </c>
      <c r="D105" s="101"/>
      <c r="E105" s="101"/>
      <c r="F105" s="106">
        <f>F106</f>
        <v>19720000</v>
      </c>
      <c r="G105" s="106">
        <f>G106</f>
        <v>17150000</v>
      </c>
      <c r="H105" s="106">
        <f>H106</f>
        <v>17150000</v>
      </c>
    </row>
    <row r="106" spans="1:8" s="140" customFormat="1" ht="33.75">
      <c r="A106" s="66" t="s">
        <v>225</v>
      </c>
      <c r="B106" s="105" t="s">
        <v>313</v>
      </c>
      <c r="C106" s="105" t="s">
        <v>360</v>
      </c>
      <c r="D106" s="141" t="s">
        <v>226</v>
      </c>
      <c r="E106" s="101"/>
      <c r="F106" s="106">
        <f>F107+F109</f>
        <v>19720000</v>
      </c>
      <c r="G106" s="106">
        <f>G107+G109</f>
        <v>17150000</v>
      </c>
      <c r="H106" s="106">
        <f>H107+H109</f>
        <v>17150000</v>
      </c>
    </row>
    <row r="107" spans="1:8" s="140" customFormat="1" ht="16.5">
      <c r="A107" s="46" t="s">
        <v>227</v>
      </c>
      <c r="B107" s="107" t="s">
        <v>313</v>
      </c>
      <c r="C107" s="107" t="s">
        <v>360</v>
      </c>
      <c r="D107" s="142" t="s">
        <v>228</v>
      </c>
      <c r="E107" s="98"/>
      <c r="F107" s="108">
        <f>F108</f>
        <v>2000000</v>
      </c>
      <c r="G107" s="108">
        <f>G108</f>
        <v>4000000</v>
      </c>
      <c r="H107" s="108">
        <f>H108</f>
        <v>4000000</v>
      </c>
    </row>
    <row r="108" spans="1:8" s="140" customFormat="1" ht="33.75">
      <c r="A108" s="48" t="s">
        <v>187</v>
      </c>
      <c r="B108" s="107" t="s">
        <v>313</v>
      </c>
      <c r="C108" s="107" t="s">
        <v>360</v>
      </c>
      <c r="D108" s="142" t="s">
        <v>228</v>
      </c>
      <c r="E108" s="98">
        <v>800</v>
      </c>
      <c r="F108" s="108">
        <f>'Приложение 2'!D93</f>
        <v>2000000</v>
      </c>
      <c r="G108" s="108">
        <f>'Приложение 2'!E93</f>
        <v>4000000</v>
      </c>
      <c r="H108" s="108">
        <f>'Приложение 2'!F93</f>
        <v>4000000</v>
      </c>
    </row>
    <row r="109" spans="1:8" s="140" customFormat="1" ht="16.5">
      <c r="A109" s="46" t="s">
        <v>229</v>
      </c>
      <c r="B109" s="107" t="s">
        <v>313</v>
      </c>
      <c r="C109" s="107" t="s">
        <v>360</v>
      </c>
      <c r="D109" s="142" t="s">
        <v>230</v>
      </c>
      <c r="E109" s="98"/>
      <c r="F109" s="108">
        <f>F110+F111</f>
        <v>17720000</v>
      </c>
      <c r="G109" s="108">
        <f>G110+G111</f>
        <v>13150000</v>
      </c>
      <c r="H109" s="108">
        <f>H110+H111</f>
        <v>13150000</v>
      </c>
    </row>
    <row r="110" spans="1:8" s="140" customFormat="1" ht="33.75">
      <c r="A110" s="48" t="s">
        <v>187</v>
      </c>
      <c r="B110" s="107" t="s">
        <v>313</v>
      </c>
      <c r="C110" s="107" t="s">
        <v>360</v>
      </c>
      <c r="D110" s="142" t="s">
        <v>230</v>
      </c>
      <c r="E110" s="98">
        <v>200</v>
      </c>
      <c r="F110" s="108">
        <f>'Приложение 2'!D95</f>
        <v>0</v>
      </c>
      <c r="G110" s="108">
        <f>'Приложение 2'!E95</f>
        <v>150000</v>
      </c>
      <c r="H110" s="108">
        <f>'Приложение 2'!F95</f>
        <v>150000</v>
      </c>
    </row>
    <row r="111" spans="1:8" s="140" customFormat="1" ht="16.5">
      <c r="A111" s="46" t="s">
        <v>189</v>
      </c>
      <c r="B111" s="107" t="s">
        <v>313</v>
      </c>
      <c r="C111" s="107" t="s">
        <v>360</v>
      </c>
      <c r="D111" s="142" t="s">
        <v>230</v>
      </c>
      <c r="E111" s="98">
        <v>800</v>
      </c>
      <c r="F111" s="108">
        <f>'Приложение 2'!D96</f>
        <v>17720000</v>
      </c>
      <c r="G111" s="108">
        <f>'Приложение 2'!E96</f>
        <v>13000000</v>
      </c>
      <c r="H111" s="108">
        <f>'Приложение 2'!F96</f>
        <v>13000000</v>
      </c>
    </row>
    <row r="112" spans="1:8" s="140" customFormat="1" ht="16.5">
      <c r="A112" s="66" t="s">
        <v>395</v>
      </c>
      <c r="B112" s="105" t="s">
        <v>313</v>
      </c>
      <c r="C112" s="105" t="s">
        <v>358</v>
      </c>
      <c r="D112" s="101"/>
      <c r="E112" s="101"/>
      <c r="F112" s="106">
        <f aca="true" t="shared" si="9" ref="F112:H114">F113</f>
        <v>131192428.52999999</v>
      </c>
      <c r="G112" s="106">
        <f t="shared" si="9"/>
        <v>15455434.5</v>
      </c>
      <c r="H112" s="106">
        <f t="shared" si="9"/>
        <v>15455434.5</v>
      </c>
    </row>
    <row r="113" spans="1:8" s="140" customFormat="1" ht="33.75">
      <c r="A113" s="66" t="s">
        <v>225</v>
      </c>
      <c r="B113" s="105" t="s">
        <v>313</v>
      </c>
      <c r="C113" s="105" t="s">
        <v>358</v>
      </c>
      <c r="D113" s="141" t="s">
        <v>226</v>
      </c>
      <c r="E113" s="101"/>
      <c r="F113" s="106">
        <f t="shared" si="9"/>
        <v>131192428.52999999</v>
      </c>
      <c r="G113" s="106">
        <f t="shared" si="9"/>
        <v>15455434.5</v>
      </c>
      <c r="H113" s="106">
        <f t="shared" si="9"/>
        <v>15455434.5</v>
      </c>
    </row>
    <row r="114" spans="1:8" s="138" customFormat="1" ht="16.5">
      <c r="A114" s="46" t="s">
        <v>231</v>
      </c>
      <c r="B114" s="107" t="s">
        <v>313</v>
      </c>
      <c r="C114" s="107" t="s">
        <v>358</v>
      </c>
      <c r="D114" s="142" t="s">
        <v>232</v>
      </c>
      <c r="E114" s="98"/>
      <c r="F114" s="108">
        <f t="shared" si="9"/>
        <v>131192428.52999999</v>
      </c>
      <c r="G114" s="108">
        <f t="shared" si="9"/>
        <v>15455434.5</v>
      </c>
      <c r="H114" s="108">
        <f t="shared" si="9"/>
        <v>15455434.5</v>
      </c>
    </row>
    <row r="115" spans="1:8" s="140" customFormat="1" ht="33.75">
      <c r="A115" s="48" t="s">
        <v>187</v>
      </c>
      <c r="B115" s="107" t="s">
        <v>313</v>
      </c>
      <c r="C115" s="107" t="s">
        <v>358</v>
      </c>
      <c r="D115" s="142" t="s">
        <v>232</v>
      </c>
      <c r="E115" s="98">
        <v>200</v>
      </c>
      <c r="F115" s="108">
        <f>'Приложение 2'!D98</f>
        <v>131192428.52999999</v>
      </c>
      <c r="G115" s="108">
        <f>'Приложение 2'!E98</f>
        <v>15455434.5</v>
      </c>
      <c r="H115" s="108">
        <f>'Приложение 2'!F98</f>
        <v>15455434.5</v>
      </c>
    </row>
    <row r="116" spans="1:8" s="140" customFormat="1" ht="16.5">
      <c r="A116" s="70" t="s">
        <v>344</v>
      </c>
      <c r="B116" s="105" t="s">
        <v>313</v>
      </c>
      <c r="C116" s="105" t="s">
        <v>336</v>
      </c>
      <c r="D116" s="113"/>
      <c r="E116" s="101"/>
      <c r="F116" s="106">
        <f>F117</f>
        <v>14000000</v>
      </c>
      <c r="G116" s="106">
        <f aca="true" t="shared" si="10" ref="G116:H118">G117</f>
        <v>0</v>
      </c>
      <c r="H116" s="106">
        <f t="shared" si="10"/>
        <v>0</v>
      </c>
    </row>
    <row r="117" spans="1:8" s="140" customFormat="1" ht="16.5">
      <c r="A117" s="70" t="s">
        <v>302</v>
      </c>
      <c r="B117" s="105" t="s">
        <v>313</v>
      </c>
      <c r="C117" s="105" t="s">
        <v>336</v>
      </c>
      <c r="D117" s="113" t="s">
        <v>303</v>
      </c>
      <c r="E117" s="101"/>
      <c r="F117" s="106">
        <f>F118</f>
        <v>14000000</v>
      </c>
      <c r="G117" s="106">
        <f t="shared" si="10"/>
        <v>0</v>
      </c>
      <c r="H117" s="106">
        <f t="shared" si="10"/>
        <v>0</v>
      </c>
    </row>
    <row r="118" spans="1:8" s="140" customFormat="1" ht="16.5">
      <c r="A118" s="70" t="s">
        <v>322</v>
      </c>
      <c r="B118" s="107" t="s">
        <v>313</v>
      </c>
      <c r="C118" s="107" t="s">
        <v>336</v>
      </c>
      <c r="D118" s="112" t="s">
        <v>323</v>
      </c>
      <c r="E118" s="98"/>
      <c r="F118" s="108">
        <f>F119</f>
        <v>14000000</v>
      </c>
      <c r="G118" s="108">
        <f t="shared" si="10"/>
        <v>0</v>
      </c>
      <c r="H118" s="108">
        <f t="shared" si="10"/>
        <v>0</v>
      </c>
    </row>
    <row r="119" spans="1:8" s="140" customFormat="1" ht="33.75">
      <c r="A119" s="48" t="s">
        <v>187</v>
      </c>
      <c r="B119" s="107" t="s">
        <v>313</v>
      </c>
      <c r="C119" s="107" t="s">
        <v>336</v>
      </c>
      <c r="D119" s="112" t="s">
        <v>323</v>
      </c>
      <c r="E119" s="98">
        <v>200</v>
      </c>
      <c r="F119" s="108">
        <f>'Приложение 3'!F128</f>
        <v>14000000</v>
      </c>
      <c r="G119" s="108">
        <f>'Приложение 3'!G128</f>
        <v>0</v>
      </c>
      <c r="H119" s="108">
        <f>'Приложение 3'!H128</f>
        <v>0</v>
      </c>
    </row>
    <row r="120" spans="1:8" s="140" customFormat="1" ht="16.5">
      <c r="A120" s="66" t="s">
        <v>396</v>
      </c>
      <c r="B120" s="105" t="s">
        <v>313</v>
      </c>
      <c r="C120" s="105" t="s">
        <v>397</v>
      </c>
      <c r="D120" s="101"/>
      <c r="E120" s="101"/>
      <c r="F120" s="106">
        <f aca="true" t="shared" si="11" ref="F120:H121">F121</f>
        <v>4633000</v>
      </c>
      <c r="G120" s="106">
        <f t="shared" si="11"/>
        <v>4716760</v>
      </c>
      <c r="H120" s="106">
        <f t="shared" si="11"/>
        <v>4716760</v>
      </c>
    </row>
    <row r="121" spans="1:10" s="138" customFormat="1" ht="16.5">
      <c r="A121" s="66" t="s">
        <v>213</v>
      </c>
      <c r="B121" s="105" t="s">
        <v>313</v>
      </c>
      <c r="C121" s="105" t="s">
        <v>397</v>
      </c>
      <c r="D121" s="141" t="s">
        <v>214</v>
      </c>
      <c r="E121" s="101"/>
      <c r="F121" s="106">
        <f t="shared" si="11"/>
        <v>4633000</v>
      </c>
      <c r="G121" s="106">
        <f t="shared" si="11"/>
        <v>4716760</v>
      </c>
      <c r="H121" s="106">
        <f t="shared" si="11"/>
        <v>4716760</v>
      </c>
      <c r="I121" s="140"/>
      <c r="J121" s="140"/>
    </row>
    <row r="122" spans="1:10" s="138" customFormat="1" ht="16.5">
      <c r="A122" s="46" t="s">
        <v>398</v>
      </c>
      <c r="B122" s="107" t="s">
        <v>313</v>
      </c>
      <c r="C122" s="107" t="s">
        <v>397</v>
      </c>
      <c r="D122" s="142" t="s">
        <v>216</v>
      </c>
      <c r="E122" s="98"/>
      <c r="F122" s="108">
        <f>F123+F124+F125</f>
        <v>4633000</v>
      </c>
      <c r="G122" s="108">
        <f>G123+G124+G125</f>
        <v>4716760</v>
      </c>
      <c r="H122" s="108">
        <f>H123+H124+H125</f>
        <v>4716760</v>
      </c>
      <c r="I122" s="140"/>
      <c r="J122" s="140"/>
    </row>
    <row r="123" spans="1:10" s="138" customFormat="1" ht="33.75">
      <c r="A123" s="46" t="s">
        <v>187</v>
      </c>
      <c r="B123" s="107" t="s">
        <v>313</v>
      </c>
      <c r="C123" s="107" t="s">
        <v>397</v>
      </c>
      <c r="D123" s="142" t="s">
        <v>216</v>
      </c>
      <c r="E123" s="98">
        <v>200</v>
      </c>
      <c r="F123" s="108">
        <v>0</v>
      </c>
      <c r="G123" s="108">
        <v>0</v>
      </c>
      <c r="H123" s="108">
        <v>0</v>
      </c>
      <c r="I123" s="140"/>
      <c r="J123" s="140"/>
    </row>
    <row r="124" spans="1:10" s="138" customFormat="1" ht="16.5">
      <c r="A124" s="48" t="s">
        <v>188</v>
      </c>
      <c r="B124" s="107" t="s">
        <v>313</v>
      </c>
      <c r="C124" s="107" t="s">
        <v>397</v>
      </c>
      <c r="D124" s="142" t="s">
        <v>216</v>
      </c>
      <c r="E124" s="98">
        <v>300</v>
      </c>
      <c r="F124" s="108">
        <f>'Приложение 2'!D74</f>
        <v>333000</v>
      </c>
      <c r="G124" s="108">
        <f>'Приложение 2'!E74</f>
        <v>416760</v>
      </c>
      <c r="H124" s="108">
        <f>'Приложение 2'!F74</f>
        <v>416760</v>
      </c>
      <c r="I124" s="140"/>
      <c r="J124" s="140"/>
    </row>
    <row r="125" spans="1:10" s="138" customFormat="1" ht="16.5">
      <c r="A125" s="46" t="s">
        <v>189</v>
      </c>
      <c r="B125" s="107" t="s">
        <v>313</v>
      </c>
      <c r="C125" s="107" t="s">
        <v>397</v>
      </c>
      <c r="D125" s="142" t="s">
        <v>216</v>
      </c>
      <c r="E125" s="98">
        <v>800</v>
      </c>
      <c r="F125" s="108">
        <f>'Приложение 2'!D75</f>
        <v>4300000</v>
      </c>
      <c r="G125" s="108">
        <f>'Приложение 2'!E75</f>
        <v>4300000</v>
      </c>
      <c r="H125" s="108">
        <f>'Приложение 2'!F75</f>
        <v>4300000</v>
      </c>
      <c r="I125" s="140"/>
      <c r="J125" s="140"/>
    </row>
    <row r="126" spans="1:10" s="138" customFormat="1" ht="16.5">
      <c r="A126" s="70" t="s">
        <v>345</v>
      </c>
      <c r="B126" s="105" t="s">
        <v>342</v>
      </c>
      <c r="C126" s="105"/>
      <c r="D126" s="141"/>
      <c r="E126" s="101"/>
      <c r="F126" s="106">
        <f>F132+F127</f>
        <v>9810436.8</v>
      </c>
      <c r="G126" s="106">
        <f>G132+G127</f>
        <v>0</v>
      </c>
      <c r="H126" s="106">
        <f>H132+H127</f>
        <v>0</v>
      </c>
      <c r="I126" s="140"/>
      <c r="J126" s="140"/>
    </row>
    <row r="127" spans="1:10" s="138" customFormat="1" ht="16.5" hidden="1">
      <c r="A127" s="70" t="s">
        <v>346</v>
      </c>
      <c r="B127" s="105" t="s">
        <v>342</v>
      </c>
      <c r="C127" s="105" t="s">
        <v>299</v>
      </c>
      <c r="D127" s="113"/>
      <c r="E127" s="101"/>
      <c r="F127" s="106">
        <f aca="true" t="shared" si="12" ref="F127:H128">F128</f>
        <v>0</v>
      </c>
      <c r="G127" s="106">
        <f t="shared" si="12"/>
        <v>0</v>
      </c>
      <c r="H127" s="106">
        <f t="shared" si="12"/>
        <v>0</v>
      </c>
      <c r="I127" s="140"/>
      <c r="J127" s="140"/>
    </row>
    <row r="128" spans="1:10" s="138" customFormat="1" ht="16.5" hidden="1">
      <c r="A128" s="70" t="s">
        <v>302</v>
      </c>
      <c r="B128" s="105" t="s">
        <v>342</v>
      </c>
      <c r="C128" s="105" t="s">
        <v>299</v>
      </c>
      <c r="D128" s="113" t="s">
        <v>303</v>
      </c>
      <c r="E128" s="101"/>
      <c r="F128" s="106">
        <f t="shared" si="12"/>
        <v>0</v>
      </c>
      <c r="G128" s="106">
        <f t="shared" si="12"/>
        <v>0</v>
      </c>
      <c r="H128" s="106">
        <f t="shared" si="12"/>
        <v>0</v>
      </c>
      <c r="I128" s="140"/>
      <c r="J128" s="140"/>
    </row>
    <row r="129" spans="1:10" s="138" customFormat="1" ht="16.5" hidden="1">
      <c r="A129" s="48" t="s">
        <v>322</v>
      </c>
      <c r="B129" s="107" t="s">
        <v>342</v>
      </c>
      <c r="C129" s="107" t="s">
        <v>299</v>
      </c>
      <c r="D129" s="112" t="s">
        <v>323</v>
      </c>
      <c r="E129" s="98"/>
      <c r="F129" s="108">
        <f>F130+F131</f>
        <v>0</v>
      </c>
      <c r="G129" s="108">
        <f>G130+G131</f>
        <v>0</v>
      </c>
      <c r="H129" s="108">
        <f>H130+H131</f>
        <v>0</v>
      </c>
      <c r="I129" s="140"/>
      <c r="J129" s="140"/>
    </row>
    <row r="130" spans="1:10" s="138" customFormat="1" ht="33.75" hidden="1">
      <c r="A130" s="46" t="s">
        <v>187</v>
      </c>
      <c r="B130" s="107" t="s">
        <v>342</v>
      </c>
      <c r="C130" s="107" t="s">
        <v>299</v>
      </c>
      <c r="D130" s="112" t="s">
        <v>323</v>
      </c>
      <c r="E130" s="98">
        <v>200</v>
      </c>
      <c r="F130" s="108">
        <f>'[1]Приложение 3'!F127</f>
        <v>0</v>
      </c>
      <c r="G130" s="108">
        <f>'[1]Приложение 3'!G127</f>
        <v>0</v>
      </c>
      <c r="H130" s="108">
        <f>'[1]Приложение 3'!H127</f>
        <v>0</v>
      </c>
      <c r="I130" s="140"/>
      <c r="J130" s="140"/>
    </row>
    <row r="131" spans="1:10" s="138" customFormat="1" ht="33.75" hidden="1">
      <c r="A131" s="46" t="s">
        <v>196</v>
      </c>
      <c r="B131" s="107" t="s">
        <v>342</v>
      </c>
      <c r="C131" s="107" t="s">
        <v>299</v>
      </c>
      <c r="D131" s="112" t="s">
        <v>323</v>
      </c>
      <c r="E131" s="98">
        <v>600</v>
      </c>
      <c r="F131" s="108">
        <v>0</v>
      </c>
      <c r="G131" s="108">
        <v>0</v>
      </c>
      <c r="H131" s="108">
        <v>0</v>
      </c>
      <c r="I131" s="140"/>
      <c r="J131" s="140"/>
    </row>
    <row r="132" spans="1:10" s="138" customFormat="1" ht="16.5">
      <c r="A132" s="70" t="s">
        <v>349</v>
      </c>
      <c r="B132" s="105" t="s">
        <v>342</v>
      </c>
      <c r="C132" s="105" t="s">
        <v>309</v>
      </c>
      <c r="D132" s="141"/>
      <c r="E132" s="101"/>
      <c r="F132" s="106">
        <f>F133</f>
        <v>9810436.8</v>
      </c>
      <c r="G132" s="106">
        <f aca="true" t="shared" si="13" ref="G132:H134">G133</f>
        <v>0</v>
      </c>
      <c r="H132" s="106">
        <f t="shared" si="13"/>
        <v>0</v>
      </c>
      <c r="I132" s="140"/>
      <c r="J132" s="140"/>
    </row>
    <row r="133" spans="1:10" s="138" customFormat="1" ht="16.5">
      <c r="A133" s="70" t="s">
        <v>302</v>
      </c>
      <c r="B133" s="105" t="s">
        <v>342</v>
      </c>
      <c r="C133" s="105" t="s">
        <v>309</v>
      </c>
      <c r="D133" s="141" t="s">
        <v>303</v>
      </c>
      <c r="E133" s="101"/>
      <c r="F133" s="106">
        <f>F134</f>
        <v>9810436.8</v>
      </c>
      <c r="G133" s="106">
        <f t="shared" si="13"/>
        <v>0</v>
      </c>
      <c r="H133" s="106">
        <f t="shared" si="13"/>
        <v>0</v>
      </c>
      <c r="I133" s="140"/>
      <c r="J133" s="140"/>
    </row>
    <row r="134" spans="1:10" s="138" customFormat="1" ht="16.5">
      <c r="A134" s="48" t="s">
        <v>322</v>
      </c>
      <c r="B134" s="107" t="s">
        <v>342</v>
      </c>
      <c r="C134" s="107" t="s">
        <v>309</v>
      </c>
      <c r="D134" s="142" t="s">
        <v>323</v>
      </c>
      <c r="E134" s="98"/>
      <c r="F134" s="108">
        <f>F135</f>
        <v>9810436.8</v>
      </c>
      <c r="G134" s="108">
        <f t="shared" si="13"/>
        <v>0</v>
      </c>
      <c r="H134" s="108">
        <f t="shared" si="13"/>
        <v>0</v>
      </c>
      <c r="I134" s="140"/>
      <c r="J134" s="140"/>
    </row>
    <row r="135" spans="1:10" s="138" customFormat="1" ht="33.75">
      <c r="A135" s="48" t="s">
        <v>212</v>
      </c>
      <c r="B135" s="107" t="s">
        <v>342</v>
      </c>
      <c r="C135" s="107" t="s">
        <v>309</v>
      </c>
      <c r="D135" s="142" t="s">
        <v>323</v>
      </c>
      <c r="E135" s="98">
        <v>400</v>
      </c>
      <c r="F135" s="108">
        <f>'Приложение 3'!F140</f>
        <v>9810436.8</v>
      </c>
      <c r="G135" s="108">
        <f>'Приложение 3'!G140</f>
        <v>0</v>
      </c>
      <c r="H135" s="108">
        <f>'Приложение 3'!H140</f>
        <v>0</v>
      </c>
      <c r="I135" s="140"/>
      <c r="J135" s="140"/>
    </row>
    <row r="136" spans="1:8" s="140" customFormat="1" ht="16.5">
      <c r="A136" s="66" t="s">
        <v>399</v>
      </c>
      <c r="B136" s="105" t="s">
        <v>317</v>
      </c>
      <c r="C136" s="105"/>
      <c r="D136" s="101"/>
      <c r="E136" s="101"/>
      <c r="F136" s="106">
        <f aca="true" t="shared" si="14" ref="F136:H137">F137</f>
        <v>2089351.33</v>
      </c>
      <c r="G136" s="106">
        <f t="shared" si="14"/>
        <v>1440423.53</v>
      </c>
      <c r="H136" s="106">
        <f t="shared" si="14"/>
        <v>1440423.53</v>
      </c>
    </row>
    <row r="137" spans="1:8" s="140" customFormat="1" ht="33.75">
      <c r="A137" s="70" t="s">
        <v>400</v>
      </c>
      <c r="B137" s="105" t="s">
        <v>317</v>
      </c>
      <c r="C137" s="105" t="s">
        <v>309</v>
      </c>
      <c r="D137" s="141"/>
      <c r="E137" s="101"/>
      <c r="F137" s="106">
        <f t="shared" si="14"/>
        <v>2089351.33</v>
      </c>
      <c r="G137" s="106">
        <f t="shared" si="14"/>
        <v>1440423.53</v>
      </c>
      <c r="H137" s="106">
        <f t="shared" si="14"/>
        <v>1440423.53</v>
      </c>
    </row>
    <row r="138" spans="1:8" s="140" customFormat="1" ht="33.75">
      <c r="A138" s="66" t="s">
        <v>401</v>
      </c>
      <c r="B138" s="105" t="s">
        <v>317</v>
      </c>
      <c r="C138" s="105" t="s">
        <v>309</v>
      </c>
      <c r="D138" s="143">
        <v>2900000000</v>
      </c>
      <c r="E138" s="144"/>
      <c r="F138" s="106">
        <f>F139+F141+F143</f>
        <v>2089351.33</v>
      </c>
      <c r="G138" s="106">
        <f>G139+G141+G143</f>
        <v>1440423.53</v>
      </c>
      <c r="H138" s="106">
        <f>H139+H141+H143</f>
        <v>1440423.53</v>
      </c>
    </row>
    <row r="139" spans="1:8" s="140" customFormat="1" ht="33.75">
      <c r="A139" s="46" t="s">
        <v>281</v>
      </c>
      <c r="B139" s="107" t="s">
        <v>317</v>
      </c>
      <c r="C139" s="107" t="s">
        <v>309</v>
      </c>
      <c r="D139" s="125">
        <v>2930000000</v>
      </c>
      <c r="E139" s="145"/>
      <c r="F139" s="108">
        <f>SUM(F140:F140)</f>
        <v>1820351.33</v>
      </c>
      <c r="G139" s="108">
        <f>SUM(G140:G140)</f>
        <v>1162190.53</v>
      </c>
      <c r="H139" s="108">
        <f>SUM(H140:H140)</f>
        <v>1162190.53</v>
      </c>
    </row>
    <row r="140" spans="1:8" s="140" customFormat="1" ht="33.75">
      <c r="A140" s="46" t="s">
        <v>187</v>
      </c>
      <c r="B140" s="107" t="s">
        <v>317</v>
      </c>
      <c r="C140" s="107" t="s">
        <v>309</v>
      </c>
      <c r="D140" s="125">
        <v>2930000000</v>
      </c>
      <c r="E140" s="145">
        <v>200</v>
      </c>
      <c r="F140" s="108">
        <f>'Приложение 2'!D168</f>
        <v>1820351.33</v>
      </c>
      <c r="G140" s="108">
        <f>'Приложение 2'!E168</f>
        <v>1162190.53</v>
      </c>
      <c r="H140" s="108">
        <f>'Приложение 2'!F168</f>
        <v>1162190.53</v>
      </c>
    </row>
    <row r="141" spans="1:8" s="138" customFormat="1" ht="33.75" hidden="1">
      <c r="A141" s="146" t="s">
        <v>402</v>
      </c>
      <c r="B141" s="107" t="s">
        <v>317</v>
      </c>
      <c r="C141" s="107" t="s">
        <v>309</v>
      </c>
      <c r="D141" s="125">
        <v>2940000000</v>
      </c>
      <c r="E141" s="145"/>
      <c r="F141" s="108">
        <f>F142</f>
        <v>0</v>
      </c>
      <c r="G141" s="108">
        <f>G142</f>
        <v>0</v>
      </c>
      <c r="H141" s="108">
        <f>H142</f>
        <v>0</v>
      </c>
    </row>
    <row r="142" spans="1:8" s="140" customFormat="1" ht="33.75" hidden="1">
      <c r="A142" s="48" t="s">
        <v>187</v>
      </c>
      <c r="B142" s="107" t="s">
        <v>317</v>
      </c>
      <c r="C142" s="107" t="s">
        <v>309</v>
      </c>
      <c r="D142" s="125">
        <v>2940000000</v>
      </c>
      <c r="E142" s="125">
        <v>200</v>
      </c>
      <c r="F142" s="108">
        <v>0</v>
      </c>
      <c r="G142" s="108">
        <v>0</v>
      </c>
      <c r="H142" s="108">
        <v>0</v>
      </c>
    </row>
    <row r="143" spans="1:8" s="138" customFormat="1" ht="33.75">
      <c r="A143" s="46" t="s">
        <v>282</v>
      </c>
      <c r="B143" s="107" t="s">
        <v>317</v>
      </c>
      <c r="C143" s="107" t="s">
        <v>309</v>
      </c>
      <c r="D143" s="125">
        <v>2970000000</v>
      </c>
      <c r="E143" s="125"/>
      <c r="F143" s="108">
        <f>F144</f>
        <v>269000</v>
      </c>
      <c r="G143" s="108">
        <f>G144</f>
        <v>278233</v>
      </c>
      <c r="H143" s="108">
        <f>H144</f>
        <v>278233</v>
      </c>
    </row>
    <row r="144" spans="1:8" s="140" customFormat="1" ht="33.75">
      <c r="A144" s="48" t="s">
        <v>187</v>
      </c>
      <c r="B144" s="107" t="s">
        <v>317</v>
      </c>
      <c r="C144" s="107" t="s">
        <v>309</v>
      </c>
      <c r="D144" s="125">
        <v>2970000000</v>
      </c>
      <c r="E144" s="125">
        <v>200</v>
      </c>
      <c r="F144" s="108">
        <f>'Приложение 2'!D170</f>
        <v>269000</v>
      </c>
      <c r="G144" s="108">
        <f>'Приложение 2'!E170</f>
        <v>278233</v>
      </c>
      <c r="H144" s="108">
        <f>'Приложение 2'!F170</f>
        <v>278233</v>
      </c>
    </row>
    <row r="145" spans="1:8" s="140" customFormat="1" ht="16.5">
      <c r="A145" s="66" t="s">
        <v>352</v>
      </c>
      <c r="B145" s="105" t="s">
        <v>353</v>
      </c>
      <c r="C145" s="105"/>
      <c r="D145" s="101"/>
      <c r="E145" s="101"/>
      <c r="F145" s="106">
        <f>F146+F157+F191+F214+F173</f>
        <v>1397797706.8</v>
      </c>
      <c r="G145" s="106">
        <f>G146+G157+G191+G214+G173</f>
        <v>1099171680.7299998</v>
      </c>
      <c r="H145" s="106">
        <f>H146+H157+H191+H214+H173</f>
        <v>1101696595.06</v>
      </c>
    </row>
    <row r="146" spans="1:8" s="140" customFormat="1" ht="16.5">
      <c r="A146" s="66" t="s">
        <v>354</v>
      </c>
      <c r="B146" s="105" t="s">
        <v>353</v>
      </c>
      <c r="C146" s="105" t="s">
        <v>299</v>
      </c>
      <c r="D146" s="101"/>
      <c r="E146" s="101"/>
      <c r="F146" s="106">
        <f>F147+F153</f>
        <v>334634688.94</v>
      </c>
      <c r="G146" s="106">
        <f>G147+G153</f>
        <v>333576586.28</v>
      </c>
      <c r="H146" s="106">
        <f>H147+H153</f>
        <v>333576586.28</v>
      </c>
    </row>
    <row r="147" spans="1:8" s="147" customFormat="1" ht="16.5">
      <c r="A147" s="66" t="s">
        <v>182</v>
      </c>
      <c r="B147" s="105" t="s">
        <v>353</v>
      </c>
      <c r="C147" s="105" t="s">
        <v>299</v>
      </c>
      <c r="D147" s="141" t="s">
        <v>183</v>
      </c>
      <c r="E147" s="101"/>
      <c r="F147" s="106">
        <f>F148</f>
        <v>322679524.94</v>
      </c>
      <c r="G147" s="106">
        <f>G148</f>
        <v>333576586.28</v>
      </c>
      <c r="H147" s="106">
        <f>H148</f>
        <v>333576586.28</v>
      </c>
    </row>
    <row r="148" spans="1:8" s="2" customFormat="1" ht="16.5">
      <c r="A148" s="148" t="s">
        <v>192</v>
      </c>
      <c r="B148" s="107" t="s">
        <v>353</v>
      </c>
      <c r="C148" s="107" t="s">
        <v>299</v>
      </c>
      <c r="D148" s="142" t="s">
        <v>193</v>
      </c>
      <c r="E148" s="98"/>
      <c r="F148" s="108">
        <f>SUM(F149:F152)</f>
        <v>322679524.94</v>
      </c>
      <c r="G148" s="108">
        <f>SUM(G149:G152)</f>
        <v>333576586.28</v>
      </c>
      <c r="H148" s="108">
        <f>SUM(H149:H152)</f>
        <v>333576586.28</v>
      </c>
    </row>
    <row r="149" spans="1:8" s="147" customFormat="1" ht="67.5">
      <c r="A149" s="46" t="s">
        <v>186</v>
      </c>
      <c r="B149" s="107" t="s">
        <v>353</v>
      </c>
      <c r="C149" s="107" t="s">
        <v>299</v>
      </c>
      <c r="D149" s="142" t="s">
        <v>193</v>
      </c>
      <c r="E149" s="98">
        <v>100</v>
      </c>
      <c r="F149" s="108">
        <f>'Приложение 2'!D24</f>
        <v>160286018.76999995</v>
      </c>
      <c r="G149" s="108">
        <f>'Приложение 2'!E24</f>
        <v>160572845.09</v>
      </c>
      <c r="H149" s="108">
        <f>'Приложение 2'!F24</f>
        <v>160572845.09</v>
      </c>
    </row>
    <row r="150" spans="1:8" s="147" customFormat="1" ht="33.75">
      <c r="A150" s="48" t="s">
        <v>187</v>
      </c>
      <c r="B150" s="107" t="s">
        <v>353</v>
      </c>
      <c r="C150" s="107" t="s">
        <v>299</v>
      </c>
      <c r="D150" s="142" t="s">
        <v>193</v>
      </c>
      <c r="E150" s="98">
        <v>200</v>
      </c>
      <c r="F150" s="108">
        <f>'Приложение 2'!D25</f>
        <v>157599050.02000004</v>
      </c>
      <c r="G150" s="108">
        <f>'Приложение 2'!E25</f>
        <v>164469540.19</v>
      </c>
      <c r="H150" s="108">
        <f>'Приложение 2'!F25</f>
        <v>164469540.19</v>
      </c>
    </row>
    <row r="151" spans="1:8" s="147" customFormat="1" ht="16.5">
      <c r="A151" s="48" t="s">
        <v>188</v>
      </c>
      <c r="B151" s="107" t="s">
        <v>353</v>
      </c>
      <c r="C151" s="107" t="s">
        <v>299</v>
      </c>
      <c r="D151" s="142" t="s">
        <v>193</v>
      </c>
      <c r="E151" s="98">
        <v>300</v>
      </c>
      <c r="F151" s="108">
        <f>'Приложение 2'!D26</f>
        <v>412811.11000000004</v>
      </c>
      <c r="G151" s="108">
        <f>'Приложение 2'!E26</f>
        <v>0</v>
      </c>
      <c r="H151" s="108">
        <f>'Приложение 2'!F26</f>
        <v>0</v>
      </c>
    </row>
    <row r="152" spans="1:8" s="140" customFormat="1" ht="16.5">
      <c r="A152" s="46" t="s">
        <v>189</v>
      </c>
      <c r="B152" s="107" t="s">
        <v>353</v>
      </c>
      <c r="C152" s="107" t="s">
        <v>299</v>
      </c>
      <c r="D152" s="142" t="s">
        <v>193</v>
      </c>
      <c r="E152" s="98">
        <v>800</v>
      </c>
      <c r="F152" s="108">
        <f>'Приложение 2'!D27</f>
        <v>4381645.04</v>
      </c>
      <c r="G152" s="108">
        <f>'Приложение 2'!E27</f>
        <v>8534201</v>
      </c>
      <c r="H152" s="108">
        <f>'Приложение 2'!F27</f>
        <v>8534201</v>
      </c>
    </row>
    <row r="153" spans="1:8" s="140" customFormat="1" ht="16.5">
      <c r="A153" s="70" t="s">
        <v>302</v>
      </c>
      <c r="B153" s="105" t="s">
        <v>353</v>
      </c>
      <c r="C153" s="105" t="s">
        <v>299</v>
      </c>
      <c r="D153" s="113" t="s">
        <v>303</v>
      </c>
      <c r="E153" s="101"/>
      <c r="F153" s="106">
        <f>F154</f>
        <v>11955164</v>
      </c>
      <c r="G153" s="106">
        <f>G154</f>
        <v>0</v>
      </c>
      <c r="H153" s="106">
        <f>H154</f>
        <v>0</v>
      </c>
    </row>
    <row r="154" spans="1:8" s="140" customFormat="1" ht="16.5">
      <c r="A154" s="48" t="s">
        <v>322</v>
      </c>
      <c r="B154" s="107" t="s">
        <v>353</v>
      </c>
      <c r="C154" s="107" t="s">
        <v>299</v>
      </c>
      <c r="D154" s="112" t="s">
        <v>323</v>
      </c>
      <c r="E154" s="98"/>
      <c r="F154" s="108">
        <f>F156+F155</f>
        <v>11955164</v>
      </c>
      <c r="G154" s="108">
        <f>G156+G155</f>
        <v>0</v>
      </c>
      <c r="H154" s="108">
        <f>H156+H155</f>
        <v>0</v>
      </c>
    </row>
    <row r="155" spans="1:8" s="140" customFormat="1" ht="33.75">
      <c r="A155" s="48" t="s">
        <v>187</v>
      </c>
      <c r="B155" s="107" t="s">
        <v>353</v>
      </c>
      <c r="C155" s="107" t="s">
        <v>299</v>
      </c>
      <c r="D155" s="112" t="s">
        <v>323</v>
      </c>
      <c r="E155" s="98">
        <v>200</v>
      </c>
      <c r="F155" s="108">
        <f>'Приложение 3'!F146</f>
        <v>3772110</v>
      </c>
      <c r="G155" s="108">
        <f>'Приложение 3'!G146</f>
        <v>0</v>
      </c>
      <c r="H155" s="108">
        <f>'Приложение 3'!H146</f>
        <v>0</v>
      </c>
    </row>
    <row r="156" spans="1:8" s="140" customFormat="1" ht="16.5">
      <c r="A156" s="46" t="s">
        <v>189</v>
      </c>
      <c r="B156" s="107" t="s">
        <v>353</v>
      </c>
      <c r="C156" s="107" t="s">
        <v>299</v>
      </c>
      <c r="D156" s="112" t="s">
        <v>323</v>
      </c>
      <c r="E156" s="98">
        <v>800</v>
      </c>
      <c r="F156" s="108">
        <f>'Приложение 3'!F147</f>
        <v>8183054</v>
      </c>
      <c r="G156" s="108">
        <f>'Приложение 3'!G147</f>
        <v>0</v>
      </c>
      <c r="H156" s="108">
        <f>'Приложение 3'!H147</f>
        <v>0</v>
      </c>
    </row>
    <row r="157" spans="1:8" s="140" customFormat="1" ht="16.5">
      <c r="A157" s="66" t="s">
        <v>355</v>
      </c>
      <c r="B157" s="105" t="s">
        <v>353</v>
      </c>
      <c r="C157" s="105" t="s">
        <v>301</v>
      </c>
      <c r="D157" s="101"/>
      <c r="E157" s="101"/>
      <c r="F157" s="106">
        <f>F158+F165+F168</f>
        <v>529790846.30999994</v>
      </c>
      <c r="G157" s="106">
        <f>G158+G165+G168</f>
        <v>420442889.58</v>
      </c>
      <c r="H157" s="106">
        <f>H158+H165+H168</f>
        <v>422709839.27</v>
      </c>
    </row>
    <row r="158" spans="1:8" s="140" customFormat="1" ht="16.5">
      <c r="A158" s="66" t="s">
        <v>182</v>
      </c>
      <c r="B158" s="105" t="s">
        <v>353</v>
      </c>
      <c r="C158" s="105" t="s">
        <v>301</v>
      </c>
      <c r="D158" s="141" t="s">
        <v>183</v>
      </c>
      <c r="E158" s="101"/>
      <c r="F158" s="106">
        <f>F159</f>
        <v>403816657.02</v>
      </c>
      <c r="G158" s="106">
        <f>G159</f>
        <v>420442889.58</v>
      </c>
      <c r="H158" s="106">
        <f>H159</f>
        <v>422709839.27</v>
      </c>
    </row>
    <row r="159" spans="1:8" s="140" customFormat="1" ht="16.5">
      <c r="A159" s="46" t="s">
        <v>194</v>
      </c>
      <c r="B159" s="107" t="s">
        <v>353</v>
      </c>
      <c r="C159" s="107" t="s">
        <v>301</v>
      </c>
      <c r="D159" s="142" t="s">
        <v>195</v>
      </c>
      <c r="E159" s="98"/>
      <c r="F159" s="108">
        <f>F160+F161+F164+F163+F162</f>
        <v>403816657.02</v>
      </c>
      <c r="G159" s="108">
        <f>G160+G161+G164+G163+G162</f>
        <v>420442889.58</v>
      </c>
      <c r="H159" s="108">
        <f>H160+H161+H164+H163+H162</f>
        <v>422709839.27</v>
      </c>
    </row>
    <row r="160" spans="1:8" s="140" customFormat="1" ht="67.5">
      <c r="A160" s="48" t="s">
        <v>186</v>
      </c>
      <c r="B160" s="107" t="s">
        <v>353</v>
      </c>
      <c r="C160" s="107" t="s">
        <v>301</v>
      </c>
      <c r="D160" s="142" t="s">
        <v>195</v>
      </c>
      <c r="E160" s="98">
        <v>100</v>
      </c>
      <c r="F160" s="109">
        <f>'Приложение 2'!D29</f>
        <v>87230248.62</v>
      </c>
      <c r="G160" s="109">
        <f>'Приложение 2'!E29</f>
        <v>86586452</v>
      </c>
      <c r="H160" s="109">
        <f>'Приложение 2'!F29</f>
        <v>86122077</v>
      </c>
    </row>
    <row r="161" spans="1:8" s="140" customFormat="1" ht="33.75">
      <c r="A161" s="48" t="s">
        <v>187</v>
      </c>
      <c r="B161" s="107" t="s">
        <v>353</v>
      </c>
      <c r="C161" s="107" t="s">
        <v>301</v>
      </c>
      <c r="D161" s="142" t="s">
        <v>195</v>
      </c>
      <c r="E161" s="98">
        <v>200</v>
      </c>
      <c r="F161" s="109">
        <f>'Приложение 2'!D30</f>
        <v>62270950.400000006</v>
      </c>
      <c r="G161" s="109">
        <f>'Приложение 2'!E30</f>
        <v>63877575.51</v>
      </c>
      <c r="H161" s="109">
        <f>'Приложение 2'!F30</f>
        <v>63877575.51</v>
      </c>
    </row>
    <row r="162" spans="1:8" s="140" customFormat="1" ht="16.5">
      <c r="A162" s="48" t="s">
        <v>188</v>
      </c>
      <c r="B162" s="107" t="s">
        <v>353</v>
      </c>
      <c r="C162" s="107" t="s">
        <v>301</v>
      </c>
      <c r="D162" s="142" t="s">
        <v>195</v>
      </c>
      <c r="E162" s="98">
        <v>300</v>
      </c>
      <c r="F162" s="109">
        <f>'Приложение 2'!D31</f>
        <v>65100</v>
      </c>
      <c r="G162" s="109">
        <f>'Приложение 2'!E31</f>
        <v>0</v>
      </c>
      <c r="H162" s="109">
        <f>'Приложение 2'!F31</f>
        <v>0</v>
      </c>
    </row>
    <row r="163" spans="1:8" s="140" customFormat="1" ht="33.75">
      <c r="A163" s="46" t="s">
        <v>196</v>
      </c>
      <c r="B163" s="107" t="s">
        <v>353</v>
      </c>
      <c r="C163" s="107" t="s">
        <v>301</v>
      </c>
      <c r="D163" s="142" t="s">
        <v>195</v>
      </c>
      <c r="E163" s="98">
        <v>600</v>
      </c>
      <c r="F163" s="109">
        <f>'Приложение 2'!D32</f>
        <v>252266645.17</v>
      </c>
      <c r="G163" s="109">
        <f>'Приложение 2'!E32</f>
        <v>268409046.07</v>
      </c>
      <c r="H163" s="109">
        <f>'Приложение 2'!F32</f>
        <v>271140370.76</v>
      </c>
    </row>
    <row r="164" spans="1:8" s="140" customFormat="1" ht="16.5">
      <c r="A164" s="46" t="s">
        <v>189</v>
      </c>
      <c r="B164" s="107" t="s">
        <v>353</v>
      </c>
      <c r="C164" s="107" t="s">
        <v>301</v>
      </c>
      <c r="D164" s="142" t="s">
        <v>195</v>
      </c>
      <c r="E164" s="98">
        <v>800</v>
      </c>
      <c r="F164" s="109">
        <f>'Приложение 2'!D33</f>
        <v>1983712.83</v>
      </c>
      <c r="G164" s="109">
        <f>'Приложение 2'!E33</f>
        <v>1569816</v>
      </c>
      <c r="H164" s="109">
        <f>'Приложение 2'!F33</f>
        <v>1569816</v>
      </c>
    </row>
    <row r="165" spans="1:8" s="140" customFormat="1" ht="33.75">
      <c r="A165" s="66" t="s">
        <v>259</v>
      </c>
      <c r="B165" s="107" t="s">
        <v>353</v>
      </c>
      <c r="C165" s="107" t="s">
        <v>301</v>
      </c>
      <c r="D165" s="141" t="s">
        <v>260</v>
      </c>
      <c r="E165" s="101"/>
      <c r="F165" s="111">
        <f aca="true" t="shared" si="15" ref="F165:H166">F166</f>
        <v>67902277.06000002</v>
      </c>
      <c r="G165" s="111">
        <f t="shared" si="15"/>
        <v>0</v>
      </c>
      <c r="H165" s="111">
        <f t="shared" si="15"/>
        <v>0</v>
      </c>
    </row>
    <row r="166" spans="1:8" s="140" customFormat="1" ht="16.5">
      <c r="A166" s="46" t="s">
        <v>262</v>
      </c>
      <c r="B166" s="107" t="s">
        <v>353</v>
      </c>
      <c r="C166" s="107" t="s">
        <v>301</v>
      </c>
      <c r="D166" s="142" t="s">
        <v>263</v>
      </c>
      <c r="E166" s="98"/>
      <c r="F166" s="109">
        <f t="shared" si="15"/>
        <v>67902277.06000002</v>
      </c>
      <c r="G166" s="109">
        <f t="shared" si="15"/>
        <v>0</v>
      </c>
      <c r="H166" s="109">
        <f t="shared" si="15"/>
        <v>0</v>
      </c>
    </row>
    <row r="167" spans="1:8" s="140" customFormat="1" ht="33.75">
      <c r="A167" s="46" t="s">
        <v>264</v>
      </c>
      <c r="B167" s="107" t="s">
        <v>353</v>
      </c>
      <c r="C167" s="107" t="s">
        <v>301</v>
      </c>
      <c r="D167" s="142" t="s">
        <v>263</v>
      </c>
      <c r="E167" s="98">
        <v>400</v>
      </c>
      <c r="F167" s="109">
        <f>'Приложение 2'!D139-'Приложение 4'!F187-F60</f>
        <v>67902277.06000002</v>
      </c>
      <c r="G167" s="109">
        <f>'Приложение 2'!E139-'Приложение 4'!G187</f>
        <v>0</v>
      </c>
      <c r="H167" s="109">
        <f>'Приложение 2'!F139-'Приложение 4'!H187</f>
        <v>0</v>
      </c>
    </row>
    <row r="168" spans="1:8" s="140" customFormat="1" ht="16.5">
      <c r="A168" s="70" t="s">
        <v>302</v>
      </c>
      <c r="B168" s="105" t="s">
        <v>353</v>
      </c>
      <c r="C168" s="105" t="s">
        <v>301</v>
      </c>
      <c r="D168" s="113" t="s">
        <v>303</v>
      </c>
      <c r="E168" s="101"/>
      <c r="F168" s="111">
        <f>F169</f>
        <v>58071912.22999998</v>
      </c>
      <c r="G168" s="111">
        <f>G169</f>
        <v>0</v>
      </c>
      <c r="H168" s="111">
        <f>H169</f>
        <v>0</v>
      </c>
    </row>
    <row r="169" spans="1:8" s="140" customFormat="1" ht="16.5">
      <c r="A169" s="48" t="s">
        <v>322</v>
      </c>
      <c r="B169" s="107" t="s">
        <v>353</v>
      </c>
      <c r="C169" s="107" t="s">
        <v>301</v>
      </c>
      <c r="D169" s="112" t="s">
        <v>323</v>
      </c>
      <c r="E169" s="98"/>
      <c r="F169" s="109">
        <f>SUM(F170:F172)</f>
        <v>58071912.22999998</v>
      </c>
      <c r="G169" s="109">
        <f>SUM(G170:G172)</f>
        <v>0</v>
      </c>
      <c r="H169" s="109">
        <f>SUM(H170:H172)</f>
        <v>0</v>
      </c>
    </row>
    <row r="170" spans="1:8" s="140" customFormat="1" ht="33.75">
      <c r="A170" s="48" t="s">
        <v>187</v>
      </c>
      <c r="B170" s="107" t="s">
        <v>353</v>
      </c>
      <c r="C170" s="107" t="s">
        <v>301</v>
      </c>
      <c r="D170" s="112" t="s">
        <v>323</v>
      </c>
      <c r="E170" s="98">
        <v>200</v>
      </c>
      <c r="F170" s="109">
        <f>'Приложение 3'!F152</f>
        <v>7776215.08</v>
      </c>
      <c r="G170" s="109">
        <f>'Приложение 3'!G152</f>
        <v>0</v>
      </c>
      <c r="H170" s="109">
        <f>'Приложение 3'!H152</f>
        <v>0</v>
      </c>
    </row>
    <row r="171" spans="1:8" s="140" customFormat="1" ht="33.75" hidden="1">
      <c r="A171" s="46" t="s">
        <v>264</v>
      </c>
      <c r="B171" s="107" t="s">
        <v>353</v>
      </c>
      <c r="C171" s="107" t="s">
        <v>301</v>
      </c>
      <c r="D171" s="112" t="s">
        <v>323</v>
      </c>
      <c r="E171" s="98">
        <v>400</v>
      </c>
      <c r="F171" s="109">
        <v>0</v>
      </c>
      <c r="G171" s="109">
        <v>0</v>
      </c>
      <c r="H171" s="109">
        <v>0</v>
      </c>
    </row>
    <row r="172" spans="1:8" s="140" customFormat="1" ht="33.75">
      <c r="A172" s="46" t="s">
        <v>196</v>
      </c>
      <c r="B172" s="107" t="s">
        <v>353</v>
      </c>
      <c r="C172" s="107" t="s">
        <v>301</v>
      </c>
      <c r="D172" s="112" t="s">
        <v>323</v>
      </c>
      <c r="E172" s="98">
        <v>600</v>
      </c>
      <c r="F172" s="109">
        <f>'Приложение 3'!F154</f>
        <v>50295697.14999998</v>
      </c>
      <c r="G172" s="109">
        <f>'Приложение 3'!G154</f>
        <v>0</v>
      </c>
      <c r="H172" s="109">
        <f>'Приложение 3'!H154</f>
        <v>0</v>
      </c>
    </row>
    <row r="173" spans="1:8" s="140" customFormat="1" ht="16.5">
      <c r="A173" s="66" t="s">
        <v>356</v>
      </c>
      <c r="B173" s="105" t="s">
        <v>353</v>
      </c>
      <c r="C173" s="105" t="s">
        <v>309</v>
      </c>
      <c r="D173" s="141"/>
      <c r="E173" s="101"/>
      <c r="F173" s="111">
        <f>F174+F179+F185+F188</f>
        <v>352172227.11</v>
      </c>
      <c r="G173" s="111">
        <f>G174+G179+G185+G188</f>
        <v>179150030.47</v>
      </c>
      <c r="H173" s="111">
        <f>H174+H179+H185+H188</f>
        <v>179407995.11</v>
      </c>
    </row>
    <row r="174" spans="1:8" s="140" customFormat="1" ht="16.5">
      <c r="A174" s="66" t="s">
        <v>182</v>
      </c>
      <c r="B174" s="105" t="s">
        <v>353</v>
      </c>
      <c r="C174" s="105" t="s">
        <v>309</v>
      </c>
      <c r="D174" s="141" t="s">
        <v>183</v>
      </c>
      <c r="E174" s="101"/>
      <c r="F174" s="111">
        <f>F175</f>
        <v>87880646.92999999</v>
      </c>
      <c r="G174" s="111">
        <f>G175</f>
        <v>81729230.47</v>
      </c>
      <c r="H174" s="111">
        <f>H175</f>
        <v>81987195.11</v>
      </c>
    </row>
    <row r="175" spans="1:8" s="138" customFormat="1" ht="16.5">
      <c r="A175" s="149" t="s">
        <v>197</v>
      </c>
      <c r="B175" s="107" t="s">
        <v>353</v>
      </c>
      <c r="C175" s="107" t="s">
        <v>309</v>
      </c>
      <c r="D175" s="142" t="s">
        <v>198</v>
      </c>
      <c r="E175" s="98"/>
      <c r="F175" s="108">
        <f>F176+F177+F178</f>
        <v>87880646.92999999</v>
      </c>
      <c r="G175" s="108">
        <f>G176+G177+G178</f>
        <v>81729230.47</v>
      </c>
      <c r="H175" s="108">
        <f>H176+H177+H178</f>
        <v>81987195.11</v>
      </c>
    </row>
    <row r="176" spans="1:8" s="140" customFormat="1" ht="67.5">
      <c r="A176" s="48" t="s">
        <v>186</v>
      </c>
      <c r="B176" s="107" t="s">
        <v>353</v>
      </c>
      <c r="C176" s="107" t="s">
        <v>309</v>
      </c>
      <c r="D176" s="142" t="s">
        <v>198</v>
      </c>
      <c r="E176" s="98">
        <v>100</v>
      </c>
      <c r="F176" s="108">
        <f>'Приложение 2'!D35</f>
        <v>74193677.16</v>
      </c>
      <c r="G176" s="108">
        <f>'Приложение 2'!E35</f>
        <v>74163704.13</v>
      </c>
      <c r="H176" s="108">
        <f>'Приложение 2'!F35</f>
        <v>74163704.13</v>
      </c>
    </row>
    <row r="177" spans="1:8" s="140" customFormat="1" ht="33.75">
      <c r="A177" s="48" t="s">
        <v>187</v>
      </c>
      <c r="B177" s="107" t="s">
        <v>353</v>
      </c>
      <c r="C177" s="107" t="s">
        <v>309</v>
      </c>
      <c r="D177" s="142" t="s">
        <v>198</v>
      </c>
      <c r="E177" s="98">
        <v>200</v>
      </c>
      <c r="F177" s="108">
        <f>'Приложение 2'!D36</f>
        <v>11086969.77</v>
      </c>
      <c r="G177" s="108">
        <f>'Приложение 2'!E36</f>
        <v>7565526.34</v>
      </c>
      <c r="H177" s="108">
        <f>'Приложение 2'!F36</f>
        <v>7823490.98</v>
      </c>
    </row>
    <row r="178" spans="1:8" s="140" customFormat="1" ht="16.5">
      <c r="A178" s="46" t="s">
        <v>189</v>
      </c>
      <c r="B178" s="107" t="s">
        <v>353</v>
      </c>
      <c r="C178" s="107" t="s">
        <v>309</v>
      </c>
      <c r="D178" s="142" t="s">
        <v>198</v>
      </c>
      <c r="E178" s="98">
        <v>800</v>
      </c>
      <c r="F178" s="108">
        <f>'Приложение 2'!D37</f>
        <v>2600000</v>
      </c>
      <c r="G178" s="108">
        <f>'Приложение 2'!E37</f>
        <v>0</v>
      </c>
      <c r="H178" s="108">
        <f>'Приложение 2'!F37</f>
        <v>0</v>
      </c>
    </row>
    <row r="179" spans="1:8" s="140" customFormat="1" ht="16.5">
      <c r="A179" s="66" t="s">
        <v>201</v>
      </c>
      <c r="B179" s="105" t="s">
        <v>353</v>
      </c>
      <c r="C179" s="105" t="s">
        <v>309</v>
      </c>
      <c r="D179" s="141" t="s">
        <v>183</v>
      </c>
      <c r="E179" s="101"/>
      <c r="F179" s="106">
        <f>F180</f>
        <v>94021589.73</v>
      </c>
      <c r="G179" s="106">
        <f>G180</f>
        <v>97420800</v>
      </c>
      <c r="H179" s="106">
        <f>H180</f>
        <v>97420800</v>
      </c>
    </row>
    <row r="180" spans="1:8" s="140" customFormat="1" ht="16.5">
      <c r="A180" s="46" t="s">
        <v>197</v>
      </c>
      <c r="B180" s="107" t="s">
        <v>353</v>
      </c>
      <c r="C180" s="107" t="s">
        <v>309</v>
      </c>
      <c r="D180" s="142" t="s">
        <v>198</v>
      </c>
      <c r="E180" s="98"/>
      <c r="F180" s="108">
        <f>F181+F182+F184+F183</f>
        <v>94021589.73</v>
      </c>
      <c r="G180" s="108">
        <f>G181+G182+G184+G183</f>
        <v>97420800</v>
      </c>
      <c r="H180" s="108">
        <f>H181+H182+H184+H183</f>
        <v>97420800</v>
      </c>
    </row>
    <row r="181" spans="1:8" s="140" customFormat="1" ht="67.5">
      <c r="A181" s="48" t="s">
        <v>186</v>
      </c>
      <c r="B181" s="107" t="s">
        <v>353</v>
      </c>
      <c r="C181" s="107" t="s">
        <v>309</v>
      </c>
      <c r="D181" s="142" t="s">
        <v>198</v>
      </c>
      <c r="E181" s="98">
        <v>100</v>
      </c>
      <c r="F181" s="109">
        <f>'Приложение 2'!D67</f>
        <v>86570549.73</v>
      </c>
      <c r="G181" s="109">
        <f>'Приложение 2'!E67</f>
        <v>86918500</v>
      </c>
      <c r="H181" s="109">
        <f>'Приложение 2'!F67</f>
        <v>86918500</v>
      </c>
    </row>
    <row r="182" spans="1:8" s="140" customFormat="1" ht="33.75">
      <c r="A182" s="48" t="s">
        <v>187</v>
      </c>
      <c r="B182" s="107" t="s">
        <v>353</v>
      </c>
      <c r="C182" s="107" t="s">
        <v>309</v>
      </c>
      <c r="D182" s="142" t="s">
        <v>198</v>
      </c>
      <c r="E182" s="98">
        <v>200</v>
      </c>
      <c r="F182" s="109">
        <f>'Приложение 2'!D68</f>
        <v>6950747.37</v>
      </c>
      <c r="G182" s="109">
        <f>'Приложение 2'!E68</f>
        <v>10476500</v>
      </c>
      <c r="H182" s="109">
        <f>'Приложение 2'!F68</f>
        <v>10476500</v>
      </c>
    </row>
    <row r="183" spans="1:8" s="140" customFormat="1" ht="16.5">
      <c r="A183" s="48" t="s">
        <v>188</v>
      </c>
      <c r="B183" s="107" t="s">
        <v>353</v>
      </c>
      <c r="C183" s="107" t="s">
        <v>309</v>
      </c>
      <c r="D183" s="142" t="s">
        <v>198</v>
      </c>
      <c r="E183" s="98">
        <v>300</v>
      </c>
      <c r="F183" s="109">
        <f>'Приложение 2'!D69</f>
        <v>379492.63</v>
      </c>
      <c r="G183" s="109">
        <f>'Приложение 2'!E69</f>
        <v>0</v>
      </c>
      <c r="H183" s="109">
        <f>'Приложение 2'!F69</f>
        <v>0</v>
      </c>
    </row>
    <row r="184" spans="1:8" s="140" customFormat="1" ht="16.5">
      <c r="A184" s="46" t="s">
        <v>189</v>
      </c>
      <c r="B184" s="107" t="s">
        <v>353</v>
      </c>
      <c r="C184" s="107" t="s">
        <v>309</v>
      </c>
      <c r="D184" s="142" t="s">
        <v>198</v>
      </c>
      <c r="E184" s="98">
        <v>800</v>
      </c>
      <c r="F184" s="109">
        <f>'Приложение 2'!D70</f>
        <v>120800</v>
      </c>
      <c r="G184" s="109">
        <f>'Приложение 2'!E70</f>
        <v>25800</v>
      </c>
      <c r="H184" s="109">
        <f>'Приложение 2'!F70</f>
        <v>25800</v>
      </c>
    </row>
    <row r="185" spans="1:8" s="140" customFormat="1" ht="33.75">
      <c r="A185" s="66" t="s">
        <v>259</v>
      </c>
      <c r="B185" s="107" t="s">
        <v>353</v>
      </c>
      <c r="C185" s="107" t="s">
        <v>309</v>
      </c>
      <c r="D185" s="141" t="s">
        <v>260</v>
      </c>
      <c r="E185" s="98"/>
      <c r="F185" s="109">
        <f aca="true" t="shared" si="16" ref="F185:H186">F186</f>
        <v>170080852.59</v>
      </c>
      <c r="G185" s="109">
        <f t="shared" si="16"/>
        <v>0</v>
      </c>
      <c r="H185" s="109">
        <f t="shared" si="16"/>
        <v>0</v>
      </c>
    </row>
    <row r="186" spans="1:8" s="140" customFormat="1" ht="16.5">
      <c r="A186" s="46" t="s">
        <v>262</v>
      </c>
      <c r="B186" s="107" t="s">
        <v>353</v>
      </c>
      <c r="C186" s="107" t="s">
        <v>309</v>
      </c>
      <c r="D186" s="142" t="s">
        <v>263</v>
      </c>
      <c r="E186" s="98"/>
      <c r="F186" s="109">
        <f t="shared" si="16"/>
        <v>170080852.59</v>
      </c>
      <c r="G186" s="109">
        <f t="shared" si="16"/>
        <v>0</v>
      </c>
      <c r="H186" s="109">
        <f t="shared" si="16"/>
        <v>0</v>
      </c>
    </row>
    <row r="187" spans="1:8" s="140" customFormat="1" ht="33.75">
      <c r="A187" s="46" t="s">
        <v>264</v>
      </c>
      <c r="B187" s="107" t="s">
        <v>353</v>
      </c>
      <c r="C187" s="107" t="s">
        <v>309</v>
      </c>
      <c r="D187" s="142" t="s">
        <v>263</v>
      </c>
      <c r="E187" s="98">
        <v>400</v>
      </c>
      <c r="F187" s="109">
        <f>218357573.58-30105767.39-13072917.63-5098035.97</f>
        <v>170080852.59</v>
      </c>
      <c r="G187" s="109">
        <v>0</v>
      </c>
      <c r="H187" s="109">
        <v>0</v>
      </c>
    </row>
    <row r="188" spans="1:8" s="140" customFormat="1" ht="16.5">
      <c r="A188" s="70" t="s">
        <v>302</v>
      </c>
      <c r="B188" s="107" t="s">
        <v>353</v>
      </c>
      <c r="C188" s="107" t="s">
        <v>309</v>
      </c>
      <c r="D188" s="113" t="s">
        <v>303</v>
      </c>
      <c r="E188" s="98"/>
      <c r="F188" s="111">
        <f aca="true" t="shared" si="17" ref="F188:H189">F189</f>
        <v>189137.86</v>
      </c>
      <c r="G188" s="111">
        <f t="shared" si="17"/>
        <v>0</v>
      </c>
      <c r="H188" s="111">
        <f t="shared" si="17"/>
        <v>0</v>
      </c>
    </row>
    <row r="189" spans="1:8" s="140" customFormat="1" ht="16.5">
      <c r="A189" s="48" t="s">
        <v>322</v>
      </c>
      <c r="B189" s="107" t="s">
        <v>353</v>
      </c>
      <c r="C189" s="107" t="s">
        <v>309</v>
      </c>
      <c r="D189" s="112" t="s">
        <v>323</v>
      </c>
      <c r="E189" s="98"/>
      <c r="F189" s="109">
        <f t="shared" si="17"/>
        <v>189137.86</v>
      </c>
      <c r="G189" s="109">
        <f t="shared" si="17"/>
        <v>0</v>
      </c>
      <c r="H189" s="109">
        <f t="shared" si="17"/>
        <v>0</v>
      </c>
    </row>
    <row r="190" spans="1:8" s="140" customFormat="1" ht="33.75">
      <c r="A190" s="48" t="s">
        <v>187</v>
      </c>
      <c r="B190" s="107" t="s">
        <v>353</v>
      </c>
      <c r="C190" s="107" t="s">
        <v>309</v>
      </c>
      <c r="D190" s="142" t="s">
        <v>323</v>
      </c>
      <c r="E190" s="98">
        <v>200</v>
      </c>
      <c r="F190" s="109">
        <f>'Приложение 3'!F159</f>
        <v>189137.86</v>
      </c>
      <c r="G190" s="109">
        <f>'Приложение 3'!G159</f>
        <v>0</v>
      </c>
      <c r="H190" s="109">
        <f>'Приложение 3'!H159</f>
        <v>0</v>
      </c>
    </row>
    <row r="191" spans="1:8" s="140" customFormat="1" ht="16.5">
      <c r="A191" s="66" t="s">
        <v>403</v>
      </c>
      <c r="B191" s="105" t="s">
        <v>353</v>
      </c>
      <c r="C191" s="105" t="s">
        <v>353</v>
      </c>
      <c r="D191" s="101"/>
      <c r="E191" s="101"/>
      <c r="F191" s="106">
        <f>F192+F207</f>
        <v>100571482.8</v>
      </c>
      <c r="G191" s="106">
        <f>G192+G207</f>
        <v>82727641.4</v>
      </c>
      <c r="H191" s="106">
        <f>H192+H207</f>
        <v>82727641.4</v>
      </c>
    </row>
    <row r="192" spans="1:8" s="140" customFormat="1" ht="33.75">
      <c r="A192" s="66" t="s">
        <v>404</v>
      </c>
      <c r="B192" s="105" t="s">
        <v>353</v>
      </c>
      <c r="C192" s="105" t="s">
        <v>353</v>
      </c>
      <c r="D192" s="141" t="s">
        <v>234</v>
      </c>
      <c r="E192" s="101"/>
      <c r="F192" s="106">
        <f>F193+F196+F205+F200</f>
        <v>32650488.8</v>
      </c>
      <c r="G192" s="106">
        <f>G193+G196+G205+G200</f>
        <v>29675883.55</v>
      </c>
      <c r="H192" s="106">
        <f>H193+H196+H205+H200</f>
        <v>29675883.55</v>
      </c>
    </row>
    <row r="193" spans="1:8" s="140" customFormat="1" ht="16.5">
      <c r="A193" s="46" t="s">
        <v>184</v>
      </c>
      <c r="B193" s="107" t="s">
        <v>353</v>
      </c>
      <c r="C193" s="107" t="s">
        <v>353</v>
      </c>
      <c r="D193" s="142" t="s">
        <v>235</v>
      </c>
      <c r="E193" s="98"/>
      <c r="F193" s="108">
        <f>SUM(F194:F195)</f>
        <v>17877488.47</v>
      </c>
      <c r="G193" s="108">
        <f>SUM(G194:G195)</f>
        <v>14522840.35</v>
      </c>
      <c r="H193" s="108">
        <f>SUM(H194:H195)</f>
        <v>14522840.35</v>
      </c>
    </row>
    <row r="194" spans="1:8" s="140" customFormat="1" ht="67.5">
      <c r="A194" s="46" t="s">
        <v>186</v>
      </c>
      <c r="B194" s="107" t="s">
        <v>353</v>
      </c>
      <c r="C194" s="107" t="s">
        <v>353</v>
      </c>
      <c r="D194" s="142" t="s">
        <v>235</v>
      </c>
      <c r="E194" s="98">
        <v>100</v>
      </c>
      <c r="F194" s="108">
        <f>'Приложение 2'!D101</f>
        <v>15772645.17</v>
      </c>
      <c r="G194" s="108">
        <f>'Приложение 2'!E101</f>
        <v>13523598.93</v>
      </c>
      <c r="H194" s="108">
        <f>'Приложение 2'!F101</f>
        <v>13523598.93</v>
      </c>
    </row>
    <row r="195" spans="1:8" s="140" customFormat="1" ht="33.75">
      <c r="A195" s="48" t="s">
        <v>187</v>
      </c>
      <c r="B195" s="107" t="s">
        <v>353</v>
      </c>
      <c r="C195" s="107" t="s">
        <v>353</v>
      </c>
      <c r="D195" s="142" t="s">
        <v>235</v>
      </c>
      <c r="E195" s="98">
        <v>200</v>
      </c>
      <c r="F195" s="108">
        <f>'Приложение 2'!D102</f>
        <v>2104843.3</v>
      </c>
      <c r="G195" s="108">
        <f>'Приложение 2'!E102</f>
        <v>999241.42</v>
      </c>
      <c r="H195" s="108">
        <f>'Приложение 2'!F102</f>
        <v>999241.42</v>
      </c>
    </row>
    <row r="196" spans="1:10" s="151" customFormat="1" ht="33.75">
      <c r="A196" s="46" t="s">
        <v>236</v>
      </c>
      <c r="B196" s="107" t="s">
        <v>353</v>
      </c>
      <c r="C196" s="107" t="s">
        <v>353</v>
      </c>
      <c r="D196" s="142" t="s">
        <v>237</v>
      </c>
      <c r="E196" s="98"/>
      <c r="F196" s="108">
        <f>F197+F198+F199</f>
        <v>12965895.959999999</v>
      </c>
      <c r="G196" s="108">
        <f>G197+G198+G199</f>
        <v>13290057.32</v>
      </c>
      <c r="H196" s="108">
        <f>H197+H198+H199</f>
        <v>13290057.32</v>
      </c>
      <c r="I196" s="150"/>
      <c r="J196" s="150"/>
    </row>
    <row r="197" spans="1:10" s="151" customFormat="1" ht="67.5">
      <c r="A197" s="46" t="s">
        <v>186</v>
      </c>
      <c r="B197" s="107" t="s">
        <v>353</v>
      </c>
      <c r="C197" s="107" t="s">
        <v>353</v>
      </c>
      <c r="D197" s="142" t="s">
        <v>237</v>
      </c>
      <c r="E197" s="98">
        <v>100</v>
      </c>
      <c r="F197" s="108">
        <f>'Приложение 2'!D104</f>
        <v>457203.75</v>
      </c>
      <c r="G197" s="108">
        <f>'Приложение 2'!E104</f>
        <v>475491.9</v>
      </c>
      <c r="H197" s="108">
        <f>'Приложение 2'!F104</f>
        <v>475491.9</v>
      </c>
      <c r="I197" s="150"/>
      <c r="J197" s="150"/>
    </row>
    <row r="198" spans="1:8" s="151" customFormat="1" ht="33.75">
      <c r="A198" s="48" t="s">
        <v>187</v>
      </c>
      <c r="B198" s="107" t="s">
        <v>353</v>
      </c>
      <c r="C198" s="107" t="s">
        <v>353</v>
      </c>
      <c r="D198" s="142" t="s">
        <v>237</v>
      </c>
      <c r="E198" s="98">
        <v>200</v>
      </c>
      <c r="F198" s="108">
        <f>'Приложение 2'!D105</f>
        <v>3727843.53</v>
      </c>
      <c r="G198" s="108">
        <f>'Приложение 2'!E105</f>
        <v>3865609.31</v>
      </c>
      <c r="H198" s="108">
        <f>'Приложение 2'!F105</f>
        <v>3865609.31</v>
      </c>
    </row>
    <row r="199" spans="1:8" s="151" customFormat="1" ht="16.5">
      <c r="A199" s="46" t="s">
        <v>188</v>
      </c>
      <c r="B199" s="107" t="s">
        <v>353</v>
      </c>
      <c r="C199" s="107" t="s">
        <v>353</v>
      </c>
      <c r="D199" s="142" t="s">
        <v>237</v>
      </c>
      <c r="E199" s="98">
        <v>300</v>
      </c>
      <c r="F199" s="108">
        <f>'Приложение 2'!D106</f>
        <v>8780848.68</v>
      </c>
      <c r="G199" s="108">
        <f>'Приложение 2'!E106</f>
        <v>8948956.11</v>
      </c>
      <c r="H199" s="108">
        <f>'Приложение 2'!F106</f>
        <v>8948956.11</v>
      </c>
    </row>
    <row r="200" spans="1:8" s="151" customFormat="1" ht="33.75">
      <c r="A200" s="46" t="s">
        <v>238</v>
      </c>
      <c r="B200" s="107" t="s">
        <v>353</v>
      </c>
      <c r="C200" s="107" t="s">
        <v>353</v>
      </c>
      <c r="D200" s="142" t="s">
        <v>239</v>
      </c>
      <c r="E200" s="98"/>
      <c r="F200" s="108">
        <f>F201+F202+F203+F204</f>
        <v>805810.48</v>
      </c>
      <c r="G200" s="108">
        <f>G201+G202+G203+G204</f>
        <v>829984.79</v>
      </c>
      <c r="H200" s="108">
        <f>H201+H202+H203+H204</f>
        <v>829984.79</v>
      </c>
    </row>
    <row r="201" spans="1:8" s="151" customFormat="1" ht="33.75">
      <c r="A201" s="48" t="s">
        <v>187</v>
      </c>
      <c r="B201" s="107" t="s">
        <v>353</v>
      </c>
      <c r="C201" s="107" t="s">
        <v>353</v>
      </c>
      <c r="D201" s="142" t="s">
        <v>239</v>
      </c>
      <c r="E201" s="98">
        <v>200</v>
      </c>
      <c r="F201" s="108">
        <f>'Приложение 2'!D108</f>
        <v>264211.76</v>
      </c>
      <c r="G201" s="108">
        <f>'Приложение 2'!E108</f>
        <v>272138.11</v>
      </c>
      <c r="H201" s="108">
        <f>'Приложение 2'!F108</f>
        <v>272138.11</v>
      </c>
    </row>
    <row r="202" spans="1:8" s="151" customFormat="1" ht="16.5">
      <c r="A202" s="46" t="s">
        <v>188</v>
      </c>
      <c r="B202" s="107" t="s">
        <v>353</v>
      </c>
      <c r="C202" s="107" t="s">
        <v>353</v>
      </c>
      <c r="D202" s="142" t="s">
        <v>239</v>
      </c>
      <c r="E202" s="98">
        <v>300</v>
      </c>
      <c r="F202" s="108">
        <f>'Приложение 2'!D109</f>
        <v>541598.72</v>
      </c>
      <c r="G202" s="108">
        <f>'Приложение 2'!E109</f>
        <v>186531.68</v>
      </c>
      <c r="H202" s="108">
        <f>'Приложение 2'!F109</f>
        <v>186531.68</v>
      </c>
    </row>
    <row r="203" spans="1:8" s="151" customFormat="1" ht="33.75">
      <c r="A203" s="46" t="s">
        <v>196</v>
      </c>
      <c r="B203" s="107" t="s">
        <v>353</v>
      </c>
      <c r="C203" s="107" t="s">
        <v>353</v>
      </c>
      <c r="D203" s="142" t="s">
        <v>239</v>
      </c>
      <c r="E203" s="98">
        <v>600</v>
      </c>
      <c r="F203" s="108">
        <f>'Приложение 2'!D110</f>
        <v>0</v>
      </c>
      <c r="G203" s="108">
        <f>'Приложение 2'!E110</f>
        <v>371315</v>
      </c>
      <c r="H203" s="108">
        <f>'Приложение 2'!F110</f>
        <v>371315</v>
      </c>
    </row>
    <row r="204" spans="1:8" s="151" customFormat="1" ht="16.5" hidden="1">
      <c r="A204" s="46" t="s">
        <v>189</v>
      </c>
      <c r="B204" s="107" t="s">
        <v>353</v>
      </c>
      <c r="C204" s="107" t="s">
        <v>353</v>
      </c>
      <c r="D204" s="142" t="s">
        <v>239</v>
      </c>
      <c r="E204" s="98">
        <v>800</v>
      </c>
      <c r="F204" s="108">
        <f>'[1]Приложение 2'!D106</f>
        <v>0</v>
      </c>
      <c r="G204" s="108">
        <f>'[1]Приложение 2'!E106</f>
        <v>0</v>
      </c>
      <c r="H204" s="108">
        <f>'[1]Приложение 2'!F106</f>
        <v>0</v>
      </c>
    </row>
    <row r="205" spans="1:8" s="151" customFormat="1" ht="33.75">
      <c r="A205" s="48" t="s">
        <v>405</v>
      </c>
      <c r="B205" s="107" t="s">
        <v>353</v>
      </c>
      <c r="C205" s="107" t="s">
        <v>353</v>
      </c>
      <c r="D205" s="107" t="s">
        <v>243</v>
      </c>
      <c r="E205" s="107"/>
      <c r="F205" s="108">
        <f>F206</f>
        <v>1001293.89</v>
      </c>
      <c r="G205" s="108">
        <f>G206</f>
        <v>1033001.09</v>
      </c>
      <c r="H205" s="108">
        <f>H206</f>
        <v>1033001.09</v>
      </c>
    </row>
    <row r="206" spans="1:8" s="151" customFormat="1" ht="33.75">
      <c r="A206" s="48" t="s">
        <v>187</v>
      </c>
      <c r="B206" s="107" t="s">
        <v>353</v>
      </c>
      <c r="C206" s="107" t="s">
        <v>353</v>
      </c>
      <c r="D206" s="107" t="s">
        <v>243</v>
      </c>
      <c r="E206" s="107" t="s">
        <v>244</v>
      </c>
      <c r="F206" s="108">
        <f>'Приложение 2'!D116</f>
        <v>1001293.89</v>
      </c>
      <c r="G206" s="108">
        <f>'Приложение 2'!E116</f>
        <v>1033001.09</v>
      </c>
      <c r="H206" s="108">
        <f>'Приложение 2'!F116</f>
        <v>1033001.09</v>
      </c>
    </row>
    <row r="207" spans="1:8" s="151" customFormat="1" ht="16.5">
      <c r="A207" s="66" t="s">
        <v>406</v>
      </c>
      <c r="B207" s="105" t="s">
        <v>353</v>
      </c>
      <c r="C207" s="105" t="s">
        <v>353</v>
      </c>
      <c r="D207" s="141" t="s">
        <v>183</v>
      </c>
      <c r="E207" s="101"/>
      <c r="F207" s="106">
        <f>F208</f>
        <v>67920994</v>
      </c>
      <c r="G207" s="106">
        <f>G208</f>
        <v>53051757.85</v>
      </c>
      <c r="H207" s="106">
        <f>H208</f>
        <v>53051757.85</v>
      </c>
    </row>
    <row r="208" spans="1:8" s="151" customFormat="1" ht="16.5">
      <c r="A208" s="46" t="s">
        <v>199</v>
      </c>
      <c r="B208" s="107" t="s">
        <v>353</v>
      </c>
      <c r="C208" s="107" t="s">
        <v>353</v>
      </c>
      <c r="D208" s="142" t="s">
        <v>200</v>
      </c>
      <c r="E208" s="98"/>
      <c r="F208" s="108">
        <f>SUM(F209:F213)</f>
        <v>67920994</v>
      </c>
      <c r="G208" s="108">
        <f>SUM(G209:G213)</f>
        <v>53051757.85</v>
      </c>
      <c r="H208" s="108">
        <f>SUM(H209:H213)</f>
        <v>53051757.85</v>
      </c>
    </row>
    <row r="209" spans="1:8" s="151" customFormat="1" ht="67.5">
      <c r="A209" s="46" t="s">
        <v>186</v>
      </c>
      <c r="B209" s="107" t="s">
        <v>353</v>
      </c>
      <c r="C209" s="107" t="s">
        <v>353</v>
      </c>
      <c r="D209" s="142" t="s">
        <v>200</v>
      </c>
      <c r="E209" s="98">
        <v>100</v>
      </c>
      <c r="F209" s="108">
        <f>'Приложение 2'!D39</f>
        <v>14767316</v>
      </c>
      <c r="G209" s="108">
        <f>'Приложение 2'!E39</f>
        <v>0</v>
      </c>
      <c r="H209" s="108">
        <f>'Приложение 2'!F39</f>
        <v>0</v>
      </c>
    </row>
    <row r="210" spans="1:8" s="151" customFormat="1" ht="33.75">
      <c r="A210" s="48" t="s">
        <v>187</v>
      </c>
      <c r="B210" s="107" t="s">
        <v>353</v>
      </c>
      <c r="C210" s="107" t="s">
        <v>353</v>
      </c>
      <c r="D210" s="142" t="s">
        <v>200</v>
      </c>
      <c r="E210" s="98">
        <v>200</v>
      </c>
      <c r="F210" s="108">
        <f>'Приложение 2'!D40</f>
        <v>22148784.67</v>
      </c>
      <c r="G210" s="108">
        <f>'Приложение 2'!E40</f>
        <v>0</v>
      </c>
      <c r="H210" s="108">
        <f>'Приложение 2'!F40</f>
        <v>0</v>
      </c>
    </row>
    <row r="211" spans="1:8" s="151" customFormat="1" ht="16.5">
      <c r="A211" s="48" t="s">
        <v>188</v>
      </c>
      <c r="B211" s="107" t="s">
        <v>353</v>
      </c>
      <c r="C211" s="107" t="s">
        <v>353</v>
      </c>
      <c r="D211" s="142" t="s">
        <v>200</v>
      </c>
      <c r="E211" s="98">
        <v>300</v>
      </c>
      <c r="F211" s="108"/>
      <c r="G211" s="108"/>
      <c r="H211" s="108"/>
    </row>
    <row r="212" spans="1:8" s="151" customFormat="1" ht="33.75">
      <c r="A212" s="46" t="s">
        <v>196</v>
      </c>
      <c r="B212" s="107" t="s">
        <v>353</v>
      </c>
      <c r="C212" s="107" t="s">
        <v>353</v>
      </c>
      <c r="D212" s="142" t="s">
        <v>200</v>
      </c>
      <c r="E212" s="98">
        <v>600</v>
      </c>
      <c r="F212" s="108">
        <f>'Приложение 2'!D42</f>
        <v>31004893.33</v>
      </c>
      <c r="G212" s="108">
        <f>'Приложение 2'!E42</f>
        <v>14026991.85</v>
      </c>
      <c r="H212" s="108">
        <f>'Приложение 2'!F42</f>
        <v>14026991.85</v>
      </c>
    </row>
    <row r="213" spans="1:8" s="151" customFormat="1" ht="16.5">
      <c r="A213" s="46" t="s">
        <v>189</v>
      </c>
      <c r="B213" s="107" t="s">
        <v>353</v>
      </c>
      <c r="C213" s="107" t="s">
        <v>353</v>
      </c>
      <c r="D213" s="142" t="s">
        <v>200</v>
      </c>
      <c r="E213" s="98">
        <v>800</v>
      </c>
      <c r="F213" s="108">
        <f>'Приложение 2'!D43</f>
        <v>0</v>
      </c>
      <c r="G213" s="108">
        <f>'Приложение 2'!E43</f>
        <v>39024766</v>
      </c>
      <c r="H213" s="108">
        <f>'Приложение 2'!F43</f>
        <v>39024766</v>
      </c>
    </row>
    <row r="214" spans="1:8" s="152" customFormat="1" ht="16.5">
      <c r="A214" s="66" t="s">
        <v>357</v>
      </c>
      <c r="B214" s="105" t="s">
        <v>353</v>
      </c>
      <c r="C214" s="105" t="s">
        <v>358</v>
      </c>
      <c r="D214" s="101"/>
      <c r="E214" s="101"/>
      <c r="F214" s="106">
        <f>F215+F221</f>
        <v>80628461.64</v>
      </c>
      <c r="G214" s="106">
        <f>G215</f>
        <v>83274533</v>
      </c>
      <c r="H214" s="106">
        <f>H215</f>
        <v>83274533</v>
      </c>
    </row>
    <row r="215" spans="1:8" s="152" customFormat="1" ht="16.5">
      <c r="A215" s="66" t="s">
        <v>182</v>
      </c>
      <c r="B215" s="105" t="s">
        <v>353</v>
      </c>
      <c r="C215" s="105" t="s">
        <v>358</v>
      </c>
      <c r="D215" s="141" t="s">
        <v>183</v>
      </c>
      <c r="E215" s="101"/>
      <c r="F215" s="106">
        <f>F216</f>
        <v>80628461.64</v>
      </c>
      <c r="G215" s="106">
        <f>G216</f>
        <v>83274533</v>
      </c>
      <c r="H215" s="106">
        <f>H216</f>
        <v>83274533</v>
      </c>
    </row>
    <row r="216" spans="1:8" s="152" customFormat="1" ht="16.5">
      <c r="A216" s="46" t="s">
        <v>407</v>
      </c>
      <c r="B216" s="107" t="s">
        <v>353</v>
      </c>
      <c r="C216" s="107" t="s">
        <v>358</v>
      </c>
      <c r="D216" s="142" t="s">
        <v>185</v>
      </c>
      <c r="E216" s="98"/>
      <c r="F216" s="108">
        <f>SUM(F217:F220)</f>
        <v>80628461.64</v>
      </c>
      <c r="G216" s="108">
        <f>SUM(G217:G220)</f>
        <v>83274533</v>
      </c>
      <c r="H216" s="108">
        <f>SUM(H217:H220)</f>
        <v>83274533</v>
      </c>
    </row>
    <row r="217" spans="1:8" s="152" customFormat="1" ht="67.5">
      <c r="A217" s="46" t="s">
        <v>186</v>
      </c>
      <c r="B217" s="107" t="s">
        <v>353</v>
      </c>
      <c r="C217" s="107" t="s">
        <v>358</v>
      </c>
      <c r="D217" s="142" t="s">
        <v>185</v>
      </c>
      <c r="E217" s="98">
        <v>100</v>
      </c>
      <c r="F217" s="137">
        <f>'Приложение 2'!D18</f>
        <v>51691348</v>
      </c>
      <c r="G217" s="137">
        <f>'Приложение 2'!E18</f>
        <v>51577456</v>
      </c>
      <c r="H217" s="137">
        <f>'Приложение 2'!F18</f>
        <v>51577456</v>
      </c>
    </row>
    <row r="218" spans="1:8" s="152" customFormat="1" ht="33.75">
      <c r="A218" s="48" t="s">
        <v>187</v>
      </c>
      <c r="B218" s="107" t="s">
        <v>353</v>
      </c>
      <c r="C218" s="107" t="s">
        <v>358</v>
      </c>
      <c r="D218" s="142" t="s">
        <v>185</v>
      </c>
      <c r="E218" s="98">
        <v>200</v>
      </c>
      <c r="F218" s="137">
        <f>'Приложение 2'!D19</f>
        <v>9979362.94</v>
      </c>
      <c r="G218" s="137">
        <f>'Приложение 2'!E19</f>
        <v>11142077</v>
      </c>
      <c r="H218" s="137">
        <f>'Приложение 2'!F19</f>
        <v>11142077</v>
      </c>
    </row>
    <row r="219" spans="1:8" s="153" customFormat="1" ht="16.5">
      <c r="A219" s="46" t="s">
        <v>188</v>
      </c>
      <c r="B219" s="107" t="s">
        <v>353</v>
      </c>
      <c r="C219" s="107" t="s">
        <v>358</v>
      </c>
      <c r="D219" s="142" t="s">
        <v>185</v>
      </c>
      <c r="E219" s="98">
        <v>300</v>
      </c>
      <c r="F219" s="137">
        <f>'Приложение 2'!D20</f>
        <v>18957750.7</v>
      </c>
      <c r="G219" s="137">
        <f>'Приложение 2'!E20</f>
        <v>16555000</v>
      </c>
      <c r="H219" s="137">
        <f>'Приложение 2'!F20</f>
        <v>16555000</v>
      </c>
    </row>
    <row r="220" spans="1:8" s="153" customFormat="1" ht="16.5">
      <c r="A220" s="46" t="s">
        <v>189</v>
      </c>
      <c r="B220" s="107" t="s">
        <v>353</v>
      </c>
      <c r="C220" s="107" t="s">
        <v>358</v>
      </c>
      <c r="D220" s="142" t="s">
        <v>185</v>
      </c>
      <c r="E220" s="98">
        <v>800</v>
      </c>
      <c r="F220" s="137">
        <f>'Приложение 2'!D21</f>
        <v>0</v>
      </c>
      <c r="G220" s="137">
        <f>'Приложение 2'!E21</f>
        <v>4000000</v>
      </c>
      <c r="H220" s="137">
        <f>'Приложение 2'!F21</f>
        <v>4000000</v>
      </c>
    </row>
    <row r="221" spans="1:8" s="153" customFormat="1" ht="16.5" hidden="1">
      <c r="A221" s="70" t="s">
        <v>302</v>
      </c>
      <c r="B221" s="107" t="s">
        <v>353</v>
      </c>
      <c r="C221" s="107" t="s">
        <v>358</v>
      </c>
      <c r="D221" s="113" t="s">
        <v>303</v>
      </c>
      <c r="E221" s="101"/>
      <c r="F221" s="137">
        <f aca="true" t="shared" si="18" ref="F221:H222">F222</f>
        <v>0</v>
      </c>
      <c r="G221" s="137">
        <f t="shared" si="18"/>
        <v>0</v>
      </c>
      <c r="H221" s="137">
        <f t="shared" si="18"/>
        <v>0</v>
      </c>
    </row>
    <row r="222" spans="1:8" s="153" customFormat="1" ht="16.5" hidden="1">
      <c r="A222" s="48" t="s">
        <v>322</v>
      </c>
      <c r="B222" s="107" t="s">
        <v>353</v>
      </c>
      <c r="C222" s="107" t="s">
        <v>358</v>
      </c>
      <c r="D222" s="112" t="s">
        <v>323</v>
      </c>
      <c r="E222" s="98"/>
      <c r="F222" s="137">
        <f t="shared" si="18"/>
        <v>0</v>
      </c>
      <c r="G222" s="137">
        <f t="shared" si="18"/>
        <v>0</v>
      </c>
      <c r="H222" s="137">
        <f t="shared" si="18"/>
        <v>0</v>
      </c>
    </row>
    <row r="223" spans="1:8" s="153" customFormat="1" ht="33.75" hidden="1">
      <c r="A223" s="48" t="s">
        <v>187</v>
      </c>
      <c r="B223" s="107" t="s">
        <v>353</v>
      </c>
      <c r="C223" s="107" t="s">
        <v>358</v>
      </c>
      <c r="D223" s="112" t="s">
        <v>323</v>
      </c>
      <c r="E223" s="98">
        <v>200</v>
      </c>
      <c r="F223" s="137">
        <v>0</v>
      </c>
      <c r="G223" s="137">
        <v>0</v>
      </c>
      <c r="H223" s="137">
        <v>0</v>
      </c>
    </row>
    <row r="224" spans="1:8" s="152" customFormat="1" ht="16.5">
      <c r="A224" s="66" t="s">
        <v>359</v>
      </c>
      <c r="B224" s="105" t="s">
        <v>360</v>
      </c>
      <c r="C224" s="105"/>
      <c r="D224" s="101"/>
      <c r="E224" s="101"/>
      <c r="F224" s="106">
        <f>F225+F249</f>
        <v>144513697.06</v>
      </c>
      <c r="G224" s="106">
        <f>G225+G249</f>
        <v>140336400</v>
      </c>
      <c r="H224" s="106">
        <f>H225+H249</f>
        <v>140336400</v>
      </c>
    </row>
    <row r="225" spans="1:8" s="152" customFormat="1" ht="16.5">
      <c r="A225" s="66" t="s">
        <v>361</v>
      </c>
      <c r="B225" s="105" t="s">
        <v>360</v>
      </c>
      <c r="C225" s="105" t="s">
        <v>299</v>
      </c>
      <c r="D225" s="101"/>
      <c r="E225" s="101"/>
      <c r="F225" s="106">
        <f>F226+F243+F246</f>
        <v>104699698.59</v>
      </c>
      <c r="G225" s="106">
        <f>G226+G243+G246</f>
        <v>110420700</v>
      </c>
      <c r="H225" s="106">
        <f>H226+H243+H246</f>
        <v>110420700</v>
      </c>
    </row>
    <row r="226" spans="1:8" s="153" customFormat="1" ht="16.5">
      <c r="A226" s="66" t="s">
        <v>201</v>
      </c>
      <c r="B226" s="105" t="s">
        <v>360</v>
      </c>
      <c r="C226" s="105" t="s">
        <v>299</v>
      </c>
      <c r="D226" s="141" t="s">
        <v>202</v>
      </c>
      <c r="E226" s="101"/>
      <c r="F226" s="106">
        <f>F227+F230+F241</f>
        <v>103482417.59</v>
      </c>
      <c r="G226" s="106">
        <f>G227+G230+G241</f>
        <v>109520700</v>
      </c>
      <c r="H226" s="106">
        <f>H227+H230+H241</f>
        <v>109520700</v>
      </c>
    </row>
    <row r="227" spans="1:8" s="153" customFormat="1" ht="16.5">
      <c r="A227" s="46" t="s">
        <v>204</v>
      </c>
      <c r="B227" s="107" t="s">
        <v>360</v>
      </c>
      <c r="C227" s="107" t="s">
        <v>299</v>
      </c>
      <c r="D227" s="142" t="s">
        <v>205</v>
      </c>
      <c r="E227" s="98"/>
      <c r="F227" s="108">
        <f>SUM(F228:F229)</f>
        <v>2248800</v>
      </c>
      <c r="G227" s="108">
        <f>SUM(G228:G229)</f>
        <v>2480300</v>
      </c>
      <c r="H227" s="108">
        <f>SUM(H228:H229)</f>
        <v>2480300</v>
      </c>
    </row>
    <row r="228" spans="1:8" s="152" customFormat="1" ht="33.75">
      <c r="A228" s="48" t="s">
        <v>187</v>
      </c>
      <c r="B228" s="107" t="s">
        <v>360</v>
      </c>
      <c r="C228" s="107" t="s">
        <v>299</v>
      </c>
      <c r="D228" s="142" t="s">
        <v>205</v>
      </c>
      <c r="E228" s="98">
        <v>200</v>
      </c>
      <c r="F228" s="108">
        <f>'Приложение 2'!D51</f>
        <v>2238800</v>
      </c>
      <c r="G228" s="108">
        <f>'Приложение 2'!E51</f>
        <v>2470300</v>
      </c>
      <c r="H228" s="108">
        <f>'Приложение 2'!F51</f>
        <v>2470300</v>
      </c>
    </row>
    <row r="229" spans="1:8" s="153" customFormat="1" ht="16.5">
      <c r="A229" s="46" t="s">
        <v>189</v>
      </c>
      <c r="B229" s="107" t="s">
        <v>360</v>
      </c>
      <c r="C229" s="107" t="s">
        <v>299</v>
      </c>
      <c r="D229" s="142" t="s">
        <v>205</v>
      </c>
      <c r="E229" s="98">
        <v>800</v>
      </c>
      <c r="F229" s="108">
        <f>'Приложение 2'!D52</f>
        <v>10000</v>
      </c>
      <c r="G229" s="108">
        <f>'Приложение 2'!E52</f>
        <v>10000</v>
      </c>
      <c r="H229" s="108">
        <f>'Приложение 2'!F52</f>
        <v>10000</v>
      </c>
    </row>
    <row r="230" spans="1:8" s="153" customFormat="1" ht="51">
      <c r="A230" s="154" t="s">
        <v>408</v>
      </c>
      <c r="B230" s="107" t="s">
        <v>360</v>
      </c>
      <c r="C230" s="107" t="s">
        <v>299</v>
      </c>
      <c r="D230" s="142" t="s">
        <v>207</v>
      </c>
      <c r="E230" s="98"/>
      <c r="F230" s="108">
        <f>F231+F236</f>
        <v>101233617.59</v>
      </c>
      <c r="G230" s="108">
        <f>G231+G236</f>
        <v>107040400</v>
      </c>
      <c r="H230" s="108">
        <f>H231+H236</f>
        <v>107040400</v>
      </c>
    </row>
    <row r="231" spans="1:8" s="153" customFormat="1" ht="16.5">
      <c r="A231" s="155" t="s">
        <v>632</v>
      </c>
      <c r="B231" s="107" t="s">
        <v>360</v>
      </c>
      <c r="C231" s="107" t="s">
        <v>299</v>
      </c>
      <c r="D231" s="142" t="s">
        <v>289</v>
      </c>
      <c r="E231" s="98"/>
      <c r="F231" s="108">
        <f>SUM(F232:F235)</f>
        <v>79622317.59</v>
      </c>
      <c r="G231" s="108">
        <f>SUM(G232:G235)</f>
        <v>83746900</v>
      </c>
      <c r="H231" s="108">
        <f>SUM(H232:H235)</f>
        <v>83746900</v>
      </c>
    </row>
    <row r="232" spans="1:8" s="153" customFormat="1" ht="67.5">
      <c r="A232" s="46" t="s">
        <v>186</v>
      </c>
      <c r="B232" s="107" t="s">
        <v>360</v>
      </c>
      <c r="C232" s="107" t="s">
        <v>299</v>
      </c>
      <c r="D232" s="142" t="s">
        <v>289</v>
      </c>
      <c r="E232" s="98">
        <v>100</v>
      </c>
      <c r="F232" s="137">
        <f>'Приложение 2'!D55</f>
        <v>62881475.59</v>
      </c>
      <c r="G232" s="137">
        <f>'Приложение 2'!E55</f>
        <v>63476900</v>
      </c>
      <c r="H232" s="137">
        <f>'Приложение 2'!F55</f>
        <v>63476900</v>
      </c>
    </row>
    <row r="233" spans="1:8" s="153" customFormat="1" ht="33.75">
      <c r="A233" s="48" t="s">
        <v>187</v>
      </c>
      <c r="B233" s="107" t="s">
        <v>360</v>
      </c>
      <c r="C233" s="107" t="s">
        <v>299</v>
      </c>
      <c r="D233" s="142" t="s">
        <v>289</v>
      </c>
      <c r="E233" s="98">
        <v>200</v>
      </c>
      <c r="F233" s="137">
        <f>'Приложение 2'!D56</f>
        <v>15926742</v>
      </c>
      <c r="G233" s="137">
        <f>'Приложение 2'!E56</f>
        <v>19748900</v>
      </c>
      <c r="H233" s="137">
        <f>'Приложение 2'!F56</f>
        <v>19748900</v>
      </c>
    </row>
    <row r="234" spans="1:8" s="153" customFormat="1" ht="16.5">
      <c r="A234" s="46" t="s">
        <v>188</v>
      </c>
      <c r="B234" s="107" t="s">
        <v>360</v>
      </c>
      <c r="C234" s="107" t="s">
        <v>299</v>
      </c>
      <c r="D234" s="142" t="s">
        <v>289</v>
      </c>
      <c r="E234" s="98">
        <v>300</v>
      </c>
      <c r="F234" s="137">
        <f>'Приложение 2'!D57</f>
        <v>50000</v>
      </c>
      <c r="G234" s="137">
        <f>'Приложение 2'!E57</f>
        <v>0</v>
      </c>
      <c r="H234" s="137">
        <f>'Приложение 2'!F57</f>
        <v>0</v>
      </c>
    </row>
    <row r="235" spans="1:8" s="153" customFormat="1" ht="16.5">
      <c r="A235" s="46" t="s">
        <v>189</v>
      </c>
      <c r="B235" s="107" t="s">
        <v>360</v>
      </c>
      <c r="C235" s="107" t="s">
        <v>299</v>
      </c>
      <c r="D235" s="142" t="s">
        <v>289</v>
      </c>
      <c r="E235" s="98">
        <v>800</v>
      </c>
      <c r="F235" s="137">
        <f>'Приложение 2'!D58</f>
        <v>764100</v>
      </c>
      <c r="G235" s="137">
        <f>'Приложение 2'!E58</f>
        <v>521100</v>
      </c>
      <c r="H235" s="137">
        <f>'Приложение 2'!F58</f>
        <v>521100</v>
      </c>
    </row>
    <row r="236" spans="1:8" s="153" customFormat="1" ht="16.5">
      <c r="A236" s="46" t="s">
        <v>633</v>
      </c>
      <c r="B236" s="107" t="s">
        <v>360</v>
      </c>
      <c r="C236" s="107" t="s">
        <v>299</v>
      </c>
      <c r="D236" s="142" t="s">
        <v>290</v>
      </c>
      <c r="E236" s="98"/>
      <c r="F236" s="137">
        <f>SUM(F237:F240)</f>
        <v>21611300</v>
      </c>
      <c r="G236" s="137">
        <f>SUM(G237:G240)</f>
        <v>23293500</v>
      </c>
      <c r="H236" s="137">
        <f>SUM(H237:H240)</f>
        <v>23293500</v>
      </c>
    </row>
    <row r="237" spans="1:8" s="153" customFormat="1" ht="67.5">
      <c r="A237" s="46" t="s">
        <v>186</v>
      </c>
      <c r="B237" s="107" t="s">
        <v>360</v>
      </c>
      <c r="C237" s="107" t="s">
        <v>299</v>
      </c>
      <c r="D237" s="142" t="s">
        <v>290</v>
      </c>
      <c r="E237" s="98">
        <v>100</v>
      </c>
      <c r="F237" s="137">
        <f>'Приложение 2'!D60</f>
        <v>19983700</v>
      </c>
      <c r="G237" s="137">
        <f>'Приложение 2'!E60</f>
        <v>20169700</v>
      </c>
      <c r="H237" s="137">
        <f>'Приложение 2'!F60</f>
        <v>20169700</v>
      </c>
    </row>
    <row r="238" spans="1:8" s="153" customFormat="1" ht="33.75">
      <c r="A238" s="48" t="s">
        <v>187</v>
      </c>
      <c r="B238" s="107" t="s">
        <v>360</v>
      </c>
      <c r="C238" s="107" t="s">
        <v>299</v>
      </c>
      <c r="D238" s="142" t="s">
        <v>290</v>
      </c>
      <c r="E238" s="98">
        <v>200</v>
      </c>
      <c r="F238" s="137">
        <f>'Приложение 2'!D61</f>
        <v>1354000</v>
      </c>
      <c r="G238" s="137">
        <f>'Приложение 2'!E61</f>
        <v>3036200</v>
      </c>
      <c r="H238" s="137">
        <f>'Приложение 2'!F61</f>
        <v>3036200</v>
      </c>
    </row>
    <row r="239" spans="1:8" s="153" customFormat="1" ht="16.5">
      <c r="A239" s="48" t="s">
        <v>188</v>
      </c>
      <c r="B239" s="107" t="s">
        <v>360</v>
      </c>
      <c r="C239" s="107" t="s">
        <v>299</v>
      </c>
      <c r="D239" s="142" t="s">
        <v>290</v>
      </c>
      <c r="E239" s="98">
        <v>300</v>
      </c>
      <c r="F239" s="137">
        <f>'Приложение 2'!D62</f>
        <v>186000</v>
      </c>
      <c r="G239" s="137">
        <f>'Приложение 2'!E62</f>
        <v>0</v>
      </c>
      <c r="H239" s="137">
        <f>'Приложение 2'!F62</f>
        <v>0</v>
      </c>
    </row>
    <row r="240" spans="1:8" s="153" customFormat="1" ht="16.5">
      <c r="A240" s="46" t="s">
        <v>189</v>
      </c>
      <c r="B240" s="107" t="s">
        <v>360</v>
      </c>
      <c r="C240" s="107" t="s">
        <v>299</v>
      </c>
      <c r="D240" s="142" t="s">
        <v>290</v>
      </c>
      <c r="E240" s="98">
        <v>800</v>
      </c>
      <c r="F240" s="137">
        <f>'Приложение 2'!D63</f>
        <v>87600</v>
      </c>
      <c r="G240" s="137">
        <f>'Приложение 2'!E63</f>
        <v>87600</v>
      </c>
      <c r="H240" s="137">
        <f>'Приложение 2'!F63</f>
        <v>87600</v>
      </c>
    </row>
    <row r="241" spans="1:8" s="152" customFormat="1" ht="33.75" hidden="1">
      <c r="A241" s="67" t="s">
        <v>210</v>
      </c>
      <c r="B241" s="105" t="s">
        <v>360</v>
      </c>
      <c r="C241" s="105" t="s">
        <v>299</v>
      </c>
      <c r="D241" s="141" t="s">
        <v>211</v>
      </c>
      <c r="E241" s="101"/>
      <c r="F241" s="156">
        <f>F242</f>
        <v>0</v>
      </c>
      <c r="G241" s="156">
        <f>G242</f>
        <v>0</v>
      </c>
      <c r="H241" s="156">
        <f>H242</f>
        <v>0</v>
      </c>
    </row>
    <row r="242" spans="1:8" s="153" customFormat="1" ht="33.75" hidden="1">
      <c r="A242" s="46" t="s">
        <v>212</v>
      </c>
      <c r="B242" s="107" t="s">
        <v>360</v>
      </c>
      <c r="C242" s="107" t="s">
        <v>299</v>
      </c>
      <c r="D242" s="142" t="s">
        <v>211</v>
      </c>
      <c r="E242" s="98">
        <v>400</v>
      </c>
      <c r="F242" s="137">
        <v>0</v>
      </c>
      <c r="G242" s="137">
        <v>0</v>
      </c>
      <c r="H242" s="137">
        <v>0</v>
      </c>
    </row>
    <row r="243" spans="1:8" s="153" customFormat="1" ht="33.75">
      <c r="A243" s="66" t="s">
        <v>285</v>
      </c>
      <c r="B243" s="107" t="s">
        <v>360</v>
      </c>
      <c r="C243" s="107" t="s">
        <v>299</v>
      </c>
      <c r="D243" s="141" t="s">
        <v>409</v>
      </c>
      <c r="E243" s="101"/>
      <c r="F243" s="156">
        <f aca="true" t="shared" si="19" ref="F243:H244">F244</f>
        <v>1217281</v>
      </c>
      <c r="G243" s="156">
        <f t="shared" si="19"/>
        <v>0</v>
      </c>
      <c r="H243" s="156">
        <f t="shared" si="19"/>
        <v>0</v>
      </c>
    </row>
    <row r="244" spans="1:8" s="153" customFormat="1" ht="33.75">
      <c r="A244" s="66" t="s">
        <v>286</v>
      </c>
      <c r="B244" s="107" t="s">
        <v>360</v>
      </c>
      <c r="C244" s="107" t="s">
        <v>299</v>
      </c>
      <c r="D244" s="141" t="s">
        <v>410</v>
      </c>
      <c r="E244" s="101"/>
      <c r="F244" s="156">
        <f t="shared" si="19"/>
        <v>1217281</v>
      </c>
      <c r="G244" s="156">
        <f t="shared" si="19"/>
        <v>0</v>
      </c>
      <c r="H244" s="156">
        <f t="shared" si="19"/>
        <v>0</v>
      </c>
    </row>
    <row r="245" spans="1:8" s="153" customFormat="1" ht="33.75">
      <c r="A245" s="46" t="s">
        <v>212</v>
      </c>
      <c r="B245" s="107" t="s">
        <v>360</v>
      </c>
      <c r="C245" s="107" t="s">
        <v>299</v>
      </c>
      <c r="D245" s="142" t="s">
        <v>410</v>
      </c>
      <c r="E245" s="98">
        <v>400</v>
      </c>
      <c r="F245" s="137">
        <f>'Приложение 2'!D176</f>
        <v>1217281</v>
      </c>
      <c r="G245" s="137">
        <f>'Приложение 2'!E176</f>
        <v>0</v>
      </c>
      <c r="H245" s="137">
        <f>'Приложение 2'!F176</f>
        <v>0</v>
      </c>
    </row>
    <row r="246" spans="1:8" s="152" customFormat="1" ht="16.5">
      <c r="A246" s="70" t="s">
        <v>302</v>
      </c>
      <c r="B246" s="105" t="s">
        <v>360</v>
      </c>
      <c r="C246" s="105" t="s">
        <v>299</v>
      </c>
      <c r="D246" s="105" t="s">
        <v>303</v>
      </c>
      <c r="E246" s="101"/>
      <c r="F246" s="156">
        <f aca="true" t="shared" si="20" ref="F246:H247">F247</f>
        <v>0</v>
      </c>
      <c r="G246" s="156">
        <f t="shared" si="20"/>
        <v>900000</v>
      </c>
      <c r="H246" s="156">
        <f t="shared" si="20"/>
        <v>900000</v>
      </c>
    </row>
    <row r="247" spans="1:8" s="153" customFormat="1" ht="16.5">
      <c r="A247" s="48" t="s">
        <v>322</v>
      </c>
      <c r="B247" s="107" t="s">
        <v>360</v>
      </c>
      <c r="C247" s="107" t="s">
        <v>299</v>
      </c>
      <c r="D247" s="107" t="s">
        <v>323</v>
      </c>
      <c r="E247" s="98"/>
      <c r="F247" s="137">
        <f t="shared" si="20"/>
        <v>0</v>
      </c>
      <c r="G247" s="137">
        <f t="shared" si="20"/>
        <v>900000</v>
      </c>
      <c r="H247" s="137">
        <f t="shared" si="20"/>
        <v>900000</v>
      </c>
    </row>
    <row r="248" spans="1:8" s="153" customFormat="1" ht="33.75">
      <c r="A248" s="48" t="s">
        <v>187</v>
      </c>
      <c r="B248" s="107" t="s">
        <v>360</v>
      </c>
      <c r="C248" s="107" t="s">
        <v>299</v>
      </c>
      <c r="D248" s="107" t="s">
        <v>323</v>
      </c>
      <c r="E248" s="98">
        <v>200</v>
      </c>
      <c r="F248" s="137">
        <f>'Приложение 3'!F170</f>
        <v>0</v>
      </c>
      <c r="G248" s="137">
        <f>'Приложение 3'!G170</f>
        <v>900000</v>
      </c>
      <c r="H248" s="137">
        <f>'Приложение 3'!H170</f>
        <v>900000</v>
      </c>
    </row>
    <row r="249" spans="1:8" s="152" customFormat="1" ht="16.5">
      <c r="A249" s="66" t="s">
        <v>411</v>
      </c>
      <c r="B249" s="105" t="s">
        <v>360</v>
      </c>
      <c r="C249" s="105" t="s">
        <v>313</v>
      </c>
      <c r="D249" s="101"/>
      <c r="E249" s="101"/>
      <c r="F249" s="106">
        <f aca="true" t="shared" si="21" ref="F249:H250">F250</f>
        <v>39813998.47</v>
      </c>
      <c r="G249" s="106">
        <f t="shared" si="21"/>
        <v>29915700</v>
      </c>
      <c r="H249" s="106">
        <f t="shared" si="21"/>
        <v>29915700</v>
      </c>
    </row>
    <row r="250" spans="1:8" s="153" customFormat="1" ht="16.5">
      <c r="A250" s="66" t="s">
        <v>201</v>
      </c>
      <c r="B250" s="105" t="s">
        <v>360</v>
      </c>
      <c r="C250" s="105" t="s">
        <v>313</v>
      </c>
      <c r="D250" s="141" t="s">
        <v>202</v>
      </c>
      <c r="E250" s="101"/>
      <c r="F250" s="108">
        <f t="shared" si="21"/>
        <v>39813998.47</v>
      </c>
      <c r="G250" s="108">
        <f t="shared" si="21"/>
        <v>29915700</v>
      </c>
      <c r="H250" s="108">
        <f t="shared" si="21"/>
        <v>29915700</v>
      </c>
    </row>
    <row r="251" spans="1:8" s="153" customFormat="1" ht="16.5">
      <c r="A251" s="46" t="s">
        <v>184</v>
      </c>
      <c r="B251" s="107" t="s">
        <v>360</v>
      </c>
      <c r="C251" s="107" t="s">
        <v>313</v>
      </c>
      <c r="D251" s="142" t="s">
        <v>203</v>
      </c>
      <c r="E251" s="98"/>
      <c r="F251" s="108">
        <f>F252+F253+F255+F254</f>
        <v>39813998.47</v>
      </c>
      <c r="G251" s="108">
        <f>G252+G253+G255+G254</f>
        <v>29915700</v>
      </c>
      <c r="H251" s="108">
        <f>H252+H253+H255+H254</f>
        <v>29915700</v>
      </c>
    </row>
    <row r="252" spans="1:8" s="152" customFormat="1" ht="67.5">
      <c r="A252" s="46" t="s">
        <v>186</v>
      </c>
      <c r="B252" s="107" t="s">
        <v>360</v>
      </c>
      <c r="C252" s="107" t="s">
        <v>313</v>
      </c>
      <c r="D252" s="142" t="s">
        <v>203</v>
      </c>
      <c r="E252" s="98">
        <v>100</v>
      </c>
      <c r="F252" s="109">
        <f>'Приложение 2'!D46</f>
        <v>22877053.56</v>
      </c>
      <c r="G252" s="109">
        <f>'Приложение 2'!E46</f>
        <v>22773700</v>
      </c>
      <c r="H252" s="109">
        <f>'Приложение 2'!F46</f>
        <v>22773700</v>
      </c>
    </row>
    <row r="253" spans="1:8" s="157" customFormat="1" ht="33.75">
      <c r="A253" s="48" t="s">
        <v>187</v>
      </c>
      <c r="B253" s="107" t="s">
        <v>360</v>
      </c>
      <c r="C253" s="107" t="s">
        <v>313</v>
      </c>
      <c r="D253" s="142" t="s">
        <v>203</v>
      </c>
      <c r="E253" s="98">
        <v>200</v>
      </c>
      <c r="F253" s="109">
        <f>'Приложение 2'!D47</f>
        <v>5556500</v>
      </c>
      <c r="G253" s="109">
        <f>'Приложение 2'!E47</f>
        <v>7131700</v>
      </c>
      <c r="H253" s="109">
        <f>'Приложение 2'!F47</f>
        <v>7131700</v>
      </c>
    </row>
    <row r="254" spans="1:8" s="157" customFormat="1" ht="16.5">
      <c r="A254" s="48" t="s">
        <v>188</v>
      </c>
      <c r="B254" s="107" t="s">
        <v>360</v>
      </c>
      <c r="C254" s="107" t="s">
        <v>313</v>
      </c>
      <c r="D254" s="142" t="s">
        <v>203</v>
      </c>
      <c r="E254" s="98">
        <v>300</v>
      </c>
      <c r="F254" s="109">
        <f>'Приложение 2'!D48</f>
        <v>335677.91</v>
      </c>
      <c r="G254" s="109">
        <f>'Приложение 2'!E48</f>
        <v>0</v>
      </c>
      <c r="H254" s="109">
        <f>'Приложение 2'!F48</f>
        <v>0</v>
      </c>
    </row>
    <row r="255" spans="1:8" s="152" customFormat="1" ht="16.5">
      <c r="A255" s="46" t="s">
        <v>189</v>
      </c>
      <c r="B255" s="107" t="s">
        <v>360</v>
      </c>
      <c r="C255" s="107" t="s">
        <v>313</v>
      </c>
      <c r="D255" s="142" t="s">
        <v>203</v>
      </c>
      <c r="E255" s="98">
        <v>800</v>
      </c>
      <c r="F255" s="109">
        <f>'Приложение 2'!D49</f>
        <v>11044767</v>
      </c>
      <c r="G255" s="109">
        <f>'Приложение 2'!E49</f>
        <v>10300</v>
      </c>
      <c r="H255" s="109">
        <f>'Приложение 2'!F49</f>
        <v>10300</v>
      </c>
    </row>
    <row r="256" spans="1:8" s="152" customFormat="1" ht="16.5">
      <c r="A256" s="66" t="s">
        <v>362</v>
      </c>
      <c r="B256" s="105" t="s">
        <v>358</v>
      </c>
      <c r="C256" s="105"/>
      <c r="D256" s="141"/>
      <c r="E256" s="101"/>
      <c r="F256" s="111">
        <f>F257</f>
        <v>35987448.38</v>
      </c>
      <c r="G256" s="111">
        <f>G257</f>
        <v>0</v>
      </c>
      <c r="H256" s="111">
        <f>H257</f>
        <v>0</v>
      </c>
    </row>
    <row r="257" spans="1:8" s="152" customFormat="1" ht="16.5">
      <c r="A257" s="66" t="s">
        <v>363</v>
      </c>
      <c r="B257" s="105" t="s">
        <v>358</v>
      </c>
      <c r="C257" s="105" t="s">
        <v>358</v>
      </c>
      <c r="D257" s="141"/>
      <c r="E257" s="101"/>
      <c r="F257" s="111">
        <f>F258+F261</f>
        <v>35987448.38</v>
      </c>
      <c r="G257" s="111">
        <f>G258+G261</f>
        <v>0</v>
      </c>
      <c r="H257" s="111">
        <f>H258+H261</f>
        <v>0</v>
      </c>
    </row>
    <row r="258" spans="1:8" s="152" customFormat="1" ht="16.5">
      <c r="A258" s="70" t="s">
        <v>283</v>
      </c>
      <c r="B258" s="105" t="s">
        <v>358</v>
      </c>
      <c r="C258" s="105" t="s">
        <v>358</v>
      </c>
      <c r="D258" s="143">
        <v>1300000000</v>
      </c>
      <c r="E258" s="143"/>
      <c r="F258" s="109">
        <f aca="true" t="shared" si="22" ref="F258:H259">F259</f>
        <v>35987448.38</v>
      </c>
      <c r="G258" s="109">
        <f t="shared" si="22"/>
        <v>0</v>
      </c>
      <c r="H258" s="109">
        <f t="shared" si="22"/>
        <v>0</v>
      </c>
    </row>
    <row r="259" spans="1:8" s="153" customFormat="1" ht="51">
      <c r="A259" s="158" t="s">
        <v>284</v>
      </c>
      <c r="B259" s="107" t="s">
        <v>358</v>
      </c>
      <c r="C259" s="107" t="s">
        <v>358</v>
      </c>
      <c r="D259" s="125">
        <v>1320000000</v>
      </c>
      <c r="E259" s="125"/>
      <c r="F259" s="109">
        <f t="shared" si="22"/>
        <v>35987448.38</v>
      </c>
      <c r="G259" s="109">
        <f t="shared" si="22"/>
        <v>0</v>
      </c>
      <c r="H259" s="109">
        <f t="shared" si="22"/>
        <v>0</v>
      </c>
    </row>
    <row r="260" spans="1:8" s="153" customFormat="1" ht="33.75">
      <c r="A260" s="48" t="s">
        <v>187</v>
      </c>
      <c r="B260" s="107" t="s">
        <v>358</v>
      </c>
      <c r="C260" s="107" t="s">
        <v>358</v>
      </c>
      <c r="D260" s="125">
        <v>1320000000</v>
      </c>
      <c r="E260" s="125">
        <v>200</v>
      </c>
      <c r="F260" s="109">
        <f>'Приложение 2'!D173</f>
        <v>35987448.38</v>
      </c>
      <c r="G260" s="109">
        <f>'Приложение 2'!E173</f>
        <v>0</v>
      </c>
      <c r="H260" s="109">
        <f>'Приложение 2'!F173</f>
        <v>0</v>
      </c>
    </row>
    <row r="261" spans="1:8" s="153" customFormat="1" ht="16.5" hidden="1">
      <c r="A261" s="70" t="s">
        <v>302</v>
      </c>
      <c r="B261" s="105" t="s">
        <v>358</v>
      </c>
      <c r="C261" s="105" t="s">
        <v>358</v>
      </c>
      <c r="D261" s="105" t="s">
        <v>303</v>
      </c>
      <c r="E261" s="125"/>
      <c r="F261" s="111">
        <f aca="true" t="shared" si="23" ref="F261:H262">F262</f>
        <v>0</v>
      </c>
      <c r="G261" s="111">
        <f t="shared" si="23"/>
        <v>0</v>
      </c>
      <c r="H261" s="111">
        <f t="shared" si="23"/>
        <v>0</v>
      </c>
    </row>
    <row r="262" spans="1:8" s="153" customFormat="1" ht="16.5" hidden="1">
      <c r="A262" s="48" t="s">
        <v>322</v>
      </c>
      <c r="B262" s="107" t="s">
        <v>358</v>
      </c>
      <c r="C262" s="107" t="s">
        <v>358</v>
      </c>
      <c r="D262" s="107" t="s">
        <v>323</v>
      </c>
      <c r="E262" s="125"/>
      <c r="F262" s="109">
        <f t="shared" si="23"/>
        <v>0</v>
      </c>
      <c r="G262" s="109">
        <f t="shared" si="23"/>
        <v>0</v>
      </c>
      <c r="H262" s="109">
        <f t="shared" si="23"/>
        <v>0</v>
      </c>
    </row>
    <row r="263" spans="1:8" s="153" customFormat="1" ht="33.75" hidden="1">
      <c r="A263" s="48" t="s">
        <v>187</v>
      </c>
      <c r="B263" s="107" t="s">
        <v>358</v>
      </c>
      <c r="C263" s="107" t="s">
        <v>358</v>
      </c>
      <c r="D263" s="107" t="s">
        <v>323</v>
      </c>
      <c r="E263" s="125">
        <v>200</v>
      </c>
      <c r="F263" s="109">
        <v>0</v>
      </c>
      <c r="G263" s="109">
        <v>0</v>
      </c>
      <c r="H263" s="109">
        <v>0</v>
      </c>
    </row>
    <row r="264" spans="1:8" s="152" customFormat="1" ht="16.5">
      <c r="A264" s="70" t="s">
        <v>364</v>
      </c>
      <c r="B264" s="105" t="s">
        <v>336</v>
      </c>
      <c r="C264" s="105"/>
      <c r="D264" s="105"/>
      <c r="E264" s="105"/>
      <c r="F264" s="106">
        <f>F265+F272+F285+F302</f>
        <v>129942607.14999999</v>
      </c>
      <c r="G264" s="106">
        <f>G265+G272+G285+G302</f>
        <v>100837436.25999999</v>
      </c>
      <c r="H264" s="106">
        <f>H265+H272+H285+H302</f>
        <v>100645905.00999999</v>
      </c>
    </row>
    <row r="265" spans="1:8" s="152" customFormat="1" ht="16.5">
      <c r="A265" s="70" t="s">
        <v>365</v>
      </c>
      <c r="B265" s="105" t="s">
        <v>336</v>
      </c>
      <c r="C265" s="105" t="s">
        <v>299</v>
      </c>
      <c r="D265" s="105"/>
      <c r="E265" s="105"/>
      <c r="F265" s="106">
        <f>F266+F269</f>
        <v>9396948.68</v>
      </c>
      <c r="G265" s="106">
        <f>G266+G269</f>
        <v>8199922</v>
      </c>
      <c r="H265" s="106">
        <f>H266+H269</f>
        <v>8095922</v>
      </c>
    </row>
    <row r="266" spans="1:8" s="153" customFormat="1" ht="16.5">
      <c r="A266" s="70" t="s">
        <v>245</v>
      </c>
      <c r="B266" s="105" t="s">
        <v>336</v>
      </c>
      <c r="C266" s="105" t="s">
        <v>299</v>
      </c>
      <c r="D266" s="105" t="s">
        <v>246</v>
      </c>
      <c r="E266" s="105"/>
      <c r="F266" s="106">
        <f aca="true" t="shared" si="24" ref="F266:H267">F267</f>
        <v>5004552</v>
      </c>
      <c r="G266" s="106">
        <f t="shared" si="24"/>
        <v>4327000</v>
      </c>
      <c r="H266" s="106">
        <f t="shared" si="24"/>
        <v>4223000</v>
      </c>
    </row>
    <row r="267" spans="1:8" s="153" customFormat="1" ht="16.5">
      <c r="A267" s="48" t="s">
        <v>247</v>
      </c>
      <c r="B267" s="107" t="s">
        <v>336</v>
      </c>
      <c r="C267" s="107" t="s">
        <v>299</v>
      </c>
      <c r="D267" s="107" t="s">
        <v>248</v>
      </c>
      <c r="E267" s="107"/>
      <c r="F267" s="108">
        <f t="shared" si="24"/>
        <v>5004552</v>
      </c>
      <c r="G267" s="108">
        <f t="shared" si="24"/>
        <v>4327000</v>
      </c>
      <c r="H267" s="108">
        <f t="shared" si="24"/>
        <v>4223000</v>
      </c>
    </row>
    <row r="268" spans="1:8" s="153" customFormat="1" ht="16.5">
      <c r="A268" s="48" t="s">
        <v>188</v>
      </c>
      <c r="B268" s="107" t="s">
        <v>336</v>
      </c>
      <c r="C268" s="107" t="s">
        <v>299</v>
      </c>
      <c r="D268" s="107" t="s">
        <v>248</v>
      </c>
      <c r="E268" s="107" t="s">
        <v>249</v>
      </c>
      <c r="F268" s="108">
        <f>4223000+781552</f>
        <v>5004552</v>
      </c>
      <c r="G268" s="108">
        <f>4327000</f>
        <v>4327000</v>
      </c>
      <c r="H268" s="108">
        <v>4223000</v>
      </c>
    </row>
    <row r="269" spans="1:8" s="152" customFormat="1" ht="16.5">
      <c r="A269" s="70" t="s">
        <v>302</v>
      </c>
      <c r="B269" s="105" t="s">
        <v>336</v>
      </c>
      <c r="C269" s="105" t="s">
        <v>299</v>
      </c>
      <c r="D269" s="105" t="s">
        <v>303</v>
      </c>
      <c r="E269" s="105"/>
      <c r="F269" s="106">
        <f aca="true" t="shared" si="25" ref="F269:H270">F270</f>
        <v>4392396.68</v>
      </c>
      <c r="G269" s="106">
        <f t="shared" si="25"/>
        <v>3872922</v>
      </c>
      <c r="H269" s="106">
        <f t="shared" si="25"/>
        <v>3872922</v>
      </c>
    </row>
    <row r="270" spans="1:8" s="153" customFormat="1" ht="16.5">
      <c r="A270" s="48" t="s">
        <v>322</v>
      </c>
      <c r="B270" s="107" t="s">
        <v>336</v>
      </c>
      <c r="C270" s="107" t="s">
        <v>299</v>
      </c>
      <c r="D270" s="107" t="s">
        <v>323</v>
      </c>
      <c r="E270" s="107"/>
      <c r="F270" s="108">
        <f t="shared" si="25"/>
        <v>4392396.68</v>
      </c>
      <c r="G270" s="108">
        <f t="shared" si="25"/>
        <v>3872922</v>
      </c>
      <c r="H270" s="108">
        <f t="shared" si="25"/>
        <v>3872922</v>
      </c>
    </row>
    <row r="271" spans="1:8" s="152" customFormat="1" ht="16.5">
      <c r="A271" s="48" t="s">
        <v>188</v>
      </c>
      <c r="B271" s="107" t="s">
        <v>336</v>
      </c>
      <c r="C271" s="107" t="s">
        <v>299</v>
      </c>
      <c r="D271" s="107" t="s">
        <v>323</v>
      </c>
      <c r="E271" s="107" t="s">
        <v>249</v>
      </c>
      <c r="F271" s="108">
        <f>'Приложение 3'!F182</f>
        <v>4392396.68</v>
      </c>
      <c r="G271" s="108">
        <f>'Приложение 3'!G182</f>
        <v>3872922</v>
      </c>
      <c r="H271" s="108">
        <f>'Приложение 3'!H182</f>
        <v>3872922</v>
      </c>
    </row>
    <row r="272" spans="1:8" s="152" customFormat="1" ht="16.5">
      <c r="A272" s="70" t="s">
        <v>366</v>
      </c>
      <c r="B272" s="105" t="s">
        <v>336</v>
      </c>
      <c r="C272" s="105" t="s">
        <v>309</v>
      </c>
      <c r="D272" s="105"/>
      <c r="E272" s="105"/>
      <c r="F272" s="106">
        <f>F273+F277+F281</f>
        <v>61926706.989999995</v>
      </c>
      <c r="G272" s="106">
        <f>G273+G277+G281</f>
        <v>36900000</v>
      </c>
      <c r="H272" s="106">
        <f>H273+H277+H281</f>
        <v>36900000</v>
      </c>
    </row>
    <row r="273" spans="1:8" s="152" customFormat="1" ht="51">
      <c r="A273" s="70" t="s">
        <v>252</v>
      </c>
      <c r="B273" s="105" t="s">
        <v>336</v>
      </c>
      <c r="C273" s="105" t="s">
        <v>309</v>
      </c>
      <c r="D273" s="105" t="s">
        <v>253</v>
      </c>
      <c r="E273" s="105"/>
      <c r="F273" s="106">
        <f>F274</f>
        <v>26099994.999999996</v>
      </c>
      <c r="G273" s="106">
        <f>G274</f>
        <v>30900000</v>
      </c>
      <c r="H273" s="106">
        <f>H274</f>
        <v>30900000</v>
      </c>
    </row>
    <row r="274" spans="1:8" s="138" customFormat="1" ht="16.5">
      <c r="A274" s="48" t="s">
        <v>256</v>
      </c>
      <c r="B274" s="107" t="s">
        <v>336</v>
      </c>
      <c r="C274" s="107" t="s">
        <v>309</v>
      </c>
      <c r="D274" s="107" t="s">
        <v>257</v>
      </c>
      <c r="E274" s="107"/>
      <c r="F274" s="108">
        <f>F275+F276</f>
        <v>26099994.999999996</v>
      </c>
      <c r="G274" s="108">
        <f>G275+G276</f>
        <v>30900000</v>
      </c>
      <c r="H274" s="108">
        <f>H275+H276</f>
        <v>30900000</v>
      </c>
    </row>
    <row r="275" spans="1:8" s="138" customFormat="1" ht="16.5">
      <c r="A275" s="48" t="s">
        <v>188</v>
      </c>
      <c r="B275" s="107" t="s">
        <v>336</v>
      </c>
      <c r="C275" s="107" t="s">
        <v>309</v>
      </c>
      <c r="D275" s="107" t="s">
        <v>257</v>
      </c>
      <c r="E275" s="107" t="s">
        <v>249</v>
      </c>
      <c r="F275" s="108">
        <f>'Приложение 2'!D129-'Приложение 4'!F296</f>
        <v>10699994.999999996</v>
      </c>
      <c r="G275" s="108">
        <f>'Приложение 2'!E129-'Приложение 4'!G296</f>
        <v>15300000</v>
      </c>
      <c r="H275" s="108">
        <f>'Приложение 2'!F129-'Приложение 4'!H296</f>
        <v>15300000</v>
      </c>
    </row>
    <row r="276" spans="1:8" s="138" customFormat="1" ht="33.75">
      <c r="A276" s="48" t="s">
        <v>212</v>
      </c>
      <c r="B276" s="107" t="s">
        <v>336</v>
      </c>
      <c r="C276" s="107" t="s">
        <v>309</v>
      </c>
      <c r="D276" s="107" t="s">
        <v>257</v>
      </c>
      <c r="E276" s="107" t="s">
        <v>258</v>
      </c>
      <c r="F276" s="108">
        <f>'Приложение 2'!D130</f>
        <v>15400000</v>
      </c>
      <c r="G276" s="108">
        <f>'Приложение 2'!E130</f>
        <v>15600000</v>
      </c>
      <c r="H276" s="108">
        <f>'Приложение 2'!F130</f>
        <v>15600000</v>
      </c>
    </row>
    <row r="277" spans="1:8" s="140" customFormat="1" ht="33.75">
      <c r="A277" s="66" t="s">
        <v>278</v>
      </c>
      <c r="B277" s="105" t="s">
        <v>336</v>
      </c>
      <c r="C277" s="105" t="s">
        <v>309</v>
      </c>
      <c r="D277" s="105" t="s">
        <v>412</v>
      </c>
      <c r="E277" s="105"/>
      <c r="F277" s="106">
        <f>F278</f>
        <v>6000000</v>
      </c>
      <c r="G277" s="106">
        <f>G278</f>
        <v>6000000</v>
      </c>
      <c r="H277" s="106">
        <f>H278</f>
        <v>6000000</v>
      </c>
    </row>
    <row r="278" spans="1:8" s="138" customFormat="1" ht="16.5">
      <c r="A278" s="46" t="s">
        <v>279</v>
      </c>
      <c r="B278" s="107" t="s">
        <v>336</v>
      </c>
      <c r="C278" s="107" t="s">
        <v>309</v>
      </c>
      <c r="D278" s="107" t="s">
        <v>413</v>
      </c>
      <c r="E278" s="107"/>
      <c r="F278" s="108">
        <f>F279+F280</f>
        <v>6000000</v>
      </c>
      <c r="G278" s="108">
        <f>G279+G280</f>
        <v>6000000</v>
      </c>
      <c r="H278" s="108">
        <f>H279+H280</f>
        <v>6000000</v>
      </c>
    </row>
    <row r="279" spans="1:8" s="138" customFormat="1" ht="33.75">
      <c r="A279" s="46" t="s">
        <v>187</v>
      </c>
      <c r="B279" s="107" t="s">
        <v>336</v>
      </c>
      <c r="C279" s="107" t="s">
        <v>309</v>
      </c>
      <c r="D279" s="107" t="s">
        <v>413</v>
      </c>
      <c r="E279" s="107" t="s">
        <v>244</v>
      </c>
      <c r="F279" s="108">
        <f>'Приложение 2'!D164</f>
        <v>300000</v>
      </c>
      <c r="G279" s="108">
        <f>'Приложение 2'!E164</f>
        <v>300000</v>
      </c>
      <c r="H279" s="108">
        <f>'Приложение 2'!F164</f>
        <v>300000</v>
      </c>
    </row>
    <row r="280" spans="1:8" s="138" customFormat="1" ht="33.75">
      <c r="A280" s="46" t="s">
        <v>196</v>
      </c>
      <c r="B280" s="107" t="s">
        <v>336</v>
      </c>
      <c r="C280" s="107" t="s">
        <v>309</v>
      </c>
      <c r="D280" s="107" t="s">
        <v>413</v>
      </c>
      <c r="E280" s="107" t="s">
        <v>329</v>
      </c>
      <c r="F280" s="108">
        <f>'Приложение 2'!D165</f>
        <v>5700000</v>
      </c>
      <c r="G280" s="108">
        <f>'Приложение 2'!E165</f>
        <v>5700000</v>
      </c>
      <c r="H280" s="108">
        <f>'Приложение 2'!F165</f>
        <v>5700000</v>
      </c>
    </row>
    <row r="281" spans="1:8" s="138" customFormat="1" ht="16.5">
      <c r="A281" s="70" t="s">
        <v>302</v>
      </c>
      <c r="B281" s="105" t="s">
        <v>336</v>
      </c>
      <c r="C281" s="105" t="s">
        <v>309</v>
      </c>
      <c r="D281" s="105" t="s">
        <v>323</v>
      </c>
      <c r="E281" s="105"/>
      <c r="F281" s="106">
        <f>F282</f>
        <v>29826711.990000002</v>
      </c>
      <c r="G281" s="106">
        <f>G282</f>
        <v>0</v>
      </c>
      <c r="H281" s="106">
        <f>H282</f>
        <v>0</v>
      </c>
    </row>
    <row r="282" spans="1:8" s="138" customFormat="1" ht="16.5">
      <c r="A282" s="48" t="s">
        <v>322</v>
      </c>
      <c r="B282" s="107" t="s">
        <v>336</v>
      </c>
      <c r="C282" s="107" t="s">
        <v>309</v>
      </c>
      <c r="D282" s="107" t="s">
        <v>323</v>
      </c>
      <c r="E282" s="107"/>
      <c r="F282" s="108">
        <f>F284+F283</f>
        <v>29826711.990000002</v>
      </c>
      <c r="G282" s="108">
        <f>G284+G283</f>
        <v>0</v>
      </c>
      <c r="H282" s="108">
        <f>H284+H283</f>
        <v>0</v>
      </c>
    </row>
    <row r="283" spans="1:8" s="138" customFormat="1" ht="33.75">
      <c r="A283" s="46" t="s">
        <v>187</v>
      </c>
      <c r="B283" s="107" t="s">
        <v>336</v>
      </c>
      <c r="C283" s="107" t="s">
        <v>309</v>
      </c>
      <c r="D283" s="107" t="s">
        <v>323</v>
      </c>
      <c r="E283" s="107" t="s">
        <v>244</v>
      </c>
      <c r="F283" s="108">
        <f>'Приложение 3'!F187</f>
        <v>3050171.99</v>
      </c>
      <c r="G283" s="108">
        <f>'Приложение 3'!G187</f>
        <v>0</v>
      </c>
      <c r="H283" s="108">
        <f>'Приложение 3'!H187</f>
        <v>0</v>
      </c>
    </row>
    <row r="284" spans="1:8" s="138" customFormat="1" ht="33.75">
      <c r="A284" s="48" t="s">
        <v>212</v>
      </c>
      <c r="B284" s="107" t="s">
        <v>336</v>
      </c>
      <c r="C284" s="107" t="s">
        <v>309</v>
      </c>
      <c r="D284" s="107" t="s">
        <v>323</v>
      </c>
      <c r="E284" s="107" t="s">
        <v>258</v>
      </c>
      <c r="F284" s="108">
        <f>'Приложение 3'!F188</f>
        <v>26776540</v>
      </c>
      <c r="G284" s="108">
        <f>'Приложение 3'!G188</f>
        <v>0</v>
      </c>
      <c r="H284" s="108">
        <f>'Приложение 3'!H188</f>
        <v>0</v>
      </c>
    </row>
    <row r="285" spans="1:8" s="37" customFormat="1" ht="16.5">
      <c r="A285" s="70" t="s">
        <v>369</v>
      </c>
      <c r="B285" s="105" t="s">
        <v>336</v>
      </c>
      <c r="C285" s="105" t="s">
        <v>313</v>
      </c>
      <c r="D285" s="105"/>
      <c r="E285" s="105"/>
      <c r="F285" s="106">
        <f>F286+F290+F294+F297</f>
        <v>44264855.89</v>
      </c>
      <c r="G285" s="106">
        <f>G286+G290+G294+G297</f>
        <v>43600711.129999995</v>
      </c>
      <c r="H285" s="106">
        <f>H286+H290+H294+H297</f>
        <v>43600711.129999995</v>
      </c>
    </row>
    <row r="286" spans="1:8" ht="33.75">
      <c r="A286" s="66" t="s">
        <v>414</v>
      </c>
      <c r="B286" s="105" t="s">
        <v>336</v>
      </c>
      <c r="C286" s="105" t="s">
        <v>313</v>
      </c>
      <c r="D286" s="141" t="s">
        <v>234</v>
      </c>
      <c r="E286" s="105"/>
      <c r="F286" s="106">
        <f>F287</f>
        <v>2193113.77</v>
      </c>
      <c r="G286" s="106">
        <f>G287</f>
        <v>2233711.13</v>
      </c>
      <c r="H286" s="106">
        <f>H287</f>
        <v>2233711.13</v>
      </c>
    </row>
    <row r="287" spans="1:8" ht="16.5">
      <c r="A287" s="48" t="s">
        <v>240</v>
      </c>
      <c r="B287" s="107" t="s">
        <v>336</v>
      </c>
      <c r="C287" s="107" t="s">
        <v>313</v>
      </c>
      <c r="D287" s="142" t="s">
        <v>241</v>
      </c>
      <c r="E287" s="107"/>
      <c r="F287" s="108">
        <f>F288+F289</f>
        <v>2193113.77</v>
      </c>
      <c r="G287" s="108">
        <f>G288+G289</f>
        <v>2233711.13</v>
      </c>
      <c r="H287" s="108">
        <f>H288+H289</f>
        <v>2233711.13</v>
      </c>
    </row>
    <row r="288" spans="1:8" ht="33.75">
      <c r="A288" s="48" t="s">
        <v>187</v>
      </c>
      <c r="B288" s="107" t="s">
        <v>336</v>
      </c>
      <c r="C288" s="107" t="s">
        <v>313</v>
      </c>
      <c r="D288" s="142" t="s">
        <v>241</v>
      </c>
      <c r="E288" s="107" t="s">
        <v>244</v>
      </c>
      <c r="F288" s="108">
        <f>'Приложение 2'!D113</f>
        <v>1483344.77</v>
      </c>
      <c r="G288" s="108">
        <f>'Приложение 2'!E113</f>
        <v>1358999.13</v>
      </c>
      <c r="H288" s="108">
        <f>'Приложение 2'!F113</f>
        <v>1358999.13</v>
      </c>
    </row>
    <row r="289" spans="1:8" ht="16.5">
      <c r="A289" s="48" t="s">
        <v>188</v>
      </c>
      <c r="B289" s="107" t="s">
        <v>336</v>
      </c>
      <c r="C289" s="107" t="s">
        <v>313</v>
      </c>
      <c r="D289" s="142" t="s">
        <v>241</v>
      </c>
      <c r="E289" s="107" t="s">
        <v>249</v>
      </c>
      <c r="F289" s="108">
        <f>'Приложение 2'!D114</f>
        <v>709769</v>
      </c>
      <c r="G289" s="108">
        <f>'Приложение 2'!E114</f>
        <v>874712</v>
      </c>
      <c r="H289" s="108">
        <f>'Приложение 2'!F114</f>
        <v>874712</v>
      </c>
    </row>
    <row r="290" spans="1:8" ht="16.5">
      <c r="A290" s="70" t="s">
        <v>245</v>
      </c>
      <c r="B290" s="105" t="s">
        <v>336</v>
      </c>
      <c r="C290" s="105" t="s">
        <v>313</v>
      </c>
      <c r="D290" s="105" t="s">
        <v>246</v>
      </c>
      <c r="E290" s="105"/>
      <c r="F290" s="106">
        <f>F291</f>
        <v>1932830</v>
      </c>
      <c r="G290" s="106">
        <f>G291</f>
        <v>2067000</v>
      </c>
      <c r="H290" s="106">
        <f>H291</f>
        <v>2067000</v>
      </c>
    </row>
    <row r="291" spans="1:8" ht="16.5">
      <c r="A291" s="48" t="s">
        <v>247</v>
      </c>
      <c r="B291" s="107" t="s">
        <v>336</v>
      </c>
      <c r="C291" s="107" t="s">
        <v>313</v>
      </c>
      <c r="D291" s="107" t="s">
        <v>248</v>
      </c>
      <c r="E291" s="107"/>
      <c r="F291" s="108">
        <f>SUM(F292:F293)</f>
        <v>1932830</v>
      </c>
      <c r="G291" s="108">
        <f>SUM(G292:G293)</f>
        <v>2067000</v>
      </c>
      <c r="H291" s="108">
        <f>SUM(H292:H293)</f>
        <v>2067000</v>
      </c>
    </row>
    <row r="292" spans="1:8" ht="33.75">
      <c r="A292" s="48" t="s">
        <v>187</v>
      </c>
      <c r="B292" s="107" t="s">
        <v>336</v>
      </c>
      <c r="C292" s="107" t="s">
        <v>313</v>
      </c>
      <c r="D292" s="107" t="s">
        <v>248</v>
      </c>
      <c r="E292" s="107" t="s">
        <v>244</v>
      </c>
      <c r="F292" s="108">
        <f>'Приложение 2'!D119</f>
        <v>194000</v>
      </c>
      <c r="G292" s="108">
        <f>'Приложение 2'!E119</f>
        <v>194000</v>
      </c>
      <c r="H292" s="108">
        <f>'Приложение 2'!F119</f>
        <v>194000</v>
      </c>
    </row>
    <row r="293" spans="1:8" ht="16.5">
      <c r="A293" s="48" t="s">
        <v>188</v>
      </c>
      <c r="B293" s="107" t="s">
        <v>336</v>
      </c>
      <c r="C293" s="107" t="s">
        <v>313</v>
      </c>
      <c r="D293" s="107" t="s">
        <v>248</v>
      </c>
      <c r="E293" s="107" t="s">
        <v>249</v>
      </c>
      <c r="F293" s="108">
        <f>600000+68000+1070830</f>
        <v>1738830</v>
      </c>
      <c r="G293" s="108">
        <f>600000+84000+1189000</f>
        <v>1873000</v>
      </c>
      <c r="H293" s="108">
        <f>600000+84000+1189000</f>
        <v>1873000</v>
      </c>
    </row>
    <row r="294" spans="1:8" ht="51">
      <c r="A294" s="70" t="s">
        <v>252</v>
      </c>
      <c r="B294" s="105" t="s">
        <v>336</v>
      </c>
      <c r="C294" s="105" t="s">
        <v>313</v>
      </c>
      <c r="D294" s="105" t="s">
        <v>253</v>
      </c>
      <c r="E294" s="105"/>
      <c r="F294" s="106">
        <f aca="true" t="shared" si="26" ref="F294:H295">F295</f>
        <v>23973312.12</v>
      </c>
      <c r="G294" s="106">
        <f t="shared" si="26"/>
        <v>25800000</v>
      </c>
      <c r="H294" s="106">
        <f t="shared" si="26"/>
        <v>25800000</v>
      </c>
    </row>
    <row r="295" spans="1:8" ht="16.5">
      <c r="A295" s="48" t="s">
        <v>256</v>
      </c>
      <c r="B295" s="107" t="s">
        <v>336</v>
      </c>
      <c r="C295" s="107" t="s">
        <v>313</v>
      </c>
      <c r="D295" s="107" t="s">
        <v>257</v>
      </c>
      <c r="E295" s="107"/>
      <c r="F295" s="108">
        <f t="shared" si="26"/>
        <v>23973312.12</v>
      </c>
      <c r="G295" s="108">
        <f t="shared" si="26"/>
        <v>25800000</v>
      </c>
      <c r="H295" s="108">
        <f t="shared" si="26"/>
        <v>25800000</v>
      </c>
    </row>
    <row r="296" spans="1:8" ht="16.5">
      <c r="A296" s="48" t="s">
        <v>188</v>
      </c>
      <c r="B296" s="107" t="s">
        <v>336</v>
      </c>
      <c r="C296" s="107" t="s">
        <v>313</v>
      </c>
      <c r="D296" s="107" t="s">
        <v>257</v>
      </c>
      <c r="E296" s="107" t="s">
        <v>249</v>
      </c>
      <c r="F296" s="108">
        <f>24100000-522878.16+396190.28</f>
        <v>23973312.12</v>
      </c>
      <c r="G296" s="108">
        <v>25800000</v>
      </c>
      <c r="H296" s="108">
        <v>25800000</v>
      </c>
    </row>
    <row r="297" spans="1:8" ht="16.5">
      <c r="A297" s="70" t="s">
        <v>302</v>
      </c>
      <c r="B297" s="105" t="s">
        <v>336</v>
      </c>
      <c r="C297" s="105" t="s">
        <v>313</v>
      </c>
      <c r="D297" s="105" t="s">
        <v>303</v>
      </c>
      <c r="E297" s="105"/>
      <c r="F297" s="106">
        <f>F298</f>
        <v>16165600</v>
      </c>
      <c r="G297" s="106">
        <f>G298</f>
        <v>13500000</v>
      </c>
      <c r="H297" s="106">
        <f>H298</f>
        <v>13500000</v>
      </c>
    </row>
    <row r="298" spans="1:8" ht="16.5">
      <c r="A298" s="48" t="s">
        <v>322</v>
      </c>
      <c r="B298" s="107" t="s">
        <v>336</v>
      </c>
      <c r="C298" s="107" t="s">
        <v>313</v>
      </c>
      <c r="D298" s="107" t="s">
        <v>323</v>
      </c>
      <c r="E298" s="107"/>
      <c r="F298" s="108">
        <f>F299+F300+F301</f>
        <v>16165600</v>
      </c>
      <c r="G298" s="108">
        <f>G299+G300+G301</f>
        <v>13500000</v>
      </c>
      <c r="H298" s="108">
        <f>H299+H300+H301</f>
        <v>13500000</v>
      </c>
    </row>
    <row r="299" spans="1:8" ht="33.75">
      <c r="A299" s="48" t="s">
        <v>187</v>
      </c>
      <c r="B299" s="107" t="s">
        <v>336</v>
      </c>
      <c r="C299" s="107" t="s">
        <v>313</v>
      </c>
      <c r="D299" s="107" t="s">
        <v>323</v>
      </c>
      <c r="E299" s="107" t="s">
        <v>244</v>
      </c>
      <c r="F299" s="108">
        <f>'Приложение 3'!F195</f>
        <v>197734</v>
      </c>
      <c r="G299" s="108">
        <f>'Приложение 3'!G195</f>
        <v>197734</v>
      </c>
      <c r="H299" s="108">
        <f>'Приложение 3'!H195</f>
        <v>197734</v>
      </c>
    </row>
    <row r="300" spans="1:8" ht="16.5">
      <c r="A300" s="48" t="s">
        <v>188</v>
      </c>
      <c r="B300" s="107" t="s">
        <v>336</v>
      </c>
      <c r="C300" s="107" t="s">
        <v>313</v>
      </c>
      <c r="D300" s="107" t="s">
        <v>323</v>
      </c>
      <c r="E300" s="107" t="s">
        <v>249</v>
      </c>
      <c r="F300" s="108">
        <f>'Приложение 3'!F196</f>
        <v>13302266</v>
      </c>
      <c r="G300" s="108">
        <f>'Приложение 3'!G196</f>
        <v>13302266</v>
      </c>
      <c r="H300" s="108">
        <f>'Приложение 3'!H196</f>
        <v>13302266</v>
      </c>
    </row>
    <row r="301" spans="1:8" ht="33.75">
      <c r="A301" s="48" t="s">
        <v>212</v>
      </c>
      <c r="B301" s="107" t="s">
        <v>336</v>
      </c>
      <c r="C301" s="107" t="s">
        <v>313</v>
      </c>
      <c r="D301" s="107" t="s">
        <v>323</v>
      </c>
      <c r="E301" s="107" t="s">
        <v>258</v>
      </c>
      <c r="F301" s="108">
        <f>'Приложение 3'!F197</f>
        <v>2665600</v>
      </c>
      <c r="G301" s="108">
        <f>'Приложение 3'!G197</f>
        <v>0</v>
      </c>
      <c r="H301" s="108">
        <f>'Приложение 3'!H197</f>
        <v>0</v>
      </c>
    </row>
    <row r="302" spans="1:8" s="37" customFormat="1" ht="16.5">
      <c r="A302" s="70" t="s">
        <v>370</v>
      </c>
      <c r="B302" s="105" t="s">
        <v>336</v>
      </c>
      <c r="C302" s="105" t="s">
        <v>317</v>
      </c>
      <c r="D302" s="105"/>
      <c r="E302" s="105"/>
      <c r="F302" s="106">
        <f>F303+F310+F315</f>
        <v>14354095.59</v>
      </c>
      <c r="G302" s="106">
        <f>G303+G310+G315</f>
        <v>12136803.129999999</v>
      </c>
      <c r="H302" s="106">
        <f>H303+H310+H315</f>
        <v>12049271.879999999</v>
      </c>
    </row>
    <row r="303" spans="1:8" ht="16.5">
      <c r="A303" s="70" t="s">
        <v>245</v>
      </c>
      <c r="B303" s="105" t="s">
        <v>336</v>
      </c>
      <c r="C303" s="105" t="s">
        <v>317</v>
      </c>
      <c r="D303" s="105" t="s">
        <v>246</v>
      </c>
      <c r="E303" s="105"/>
      <c r="F303" s="106">
        <f>F304+F306</f>
        <v>3430483.9</v>
      </c>
      <c r="G303" s="106">
        <f>G304+G306</f>
        <v>5167387.1</v>
      </c>
      <c r="H303" s="106">
        <f>H304+H306</f>
        <v>5079855.85</v>
      </c>
    </row>
    <row r="304" spans="1:8" ht="16.5">
      <c r="A304" s="48" t="s">
        <v>247</v>
      </c>
      <c r="B304" s="107" t="s">
        <v>336</v>
      </c>
      <c r="C304" s="107" t="s">
        <v>317</v>
      </c>
      <c r="D304" s="107" t="s">
        <v>248</v>
      </c>
      <c r="E304" s="107"/>
      <c r="F304" s="108">
        <f>F305</f>
        <v>2438000</v>
      </c>
      <c r="G304" s="108">
        <f>G305</f>
        <v>2596000</v>
      </c>
      <c r="H304" s="108">
        <f>H305</f>
        <v>2700000</v>
      </c>
    </row>
    <row r="305" spans="1:8" ht="16.5">
      <c r="A305" s="48" t="s">
        <v>188</v>
      </c>
      <c r="B305" s="107" t="s">
        <v>336</v>
      </c>
      <c r="C305" s="107" t="s">
        <v>317</v>
      </c>
      <c r="D305" s="107" t="s">
        <v>248</v>
      </c>
      <c r="E305" s="107" t="s">
        <v>249</v>
      </c>
      <c r="F305" s="108">
        <f>'Приложение 2'!D120-'Приложение 4'!F293-'Приложение 4'!F268</f>
        <v>2438000</v>
      </c>
      <c r="G305" s="108">
        <f>'Приложение 2'!E120-'Приложение 4'!G293-'Приложение 4'!G268</f>
        <v>2596000</v>
      </c>
      <c r="H305" s="108">
        <f>'Приложение 2'!F120-'Приложение 4'!H293-'Приложение 4'!H268</f>
        <v>2700000</v>
      </c>
    </row>
    <row r="306" spans="1:8" ht="16.5">
      <c r="A306" s="48" t="s">
        <v>250</v>
      </c>
      <c r="B306" s="107" t="s">
        <v>336</v>
      </c>
      <c r="C306" s="107" t="s">
        <v>317</v>
      </c>
      <c r="D306" s="107" t="s">
        <v>251</v>
      </c>
      <c r="E306" s="107"/>
      <c r="F306" s="108">
        <f>SUM(F307:F309)</f>
        <v>992483.8999999999</v>
      </c>
      <c r="G306" s="108">
        <f>SUM(G307:G309)</f>
        <v>2571387.1</v>
      </c>
      <c r="H306" s="108">
        <f>SUM(H307:H309)</f>
        <v>2379855.85</v>
      </c>
    </row>
    <row r="307" spans="1:8" ht="67.5">
      <c r="A307" s="48" t="s">
        <v>186</v>
      </c>
      <c r="B307" s="107" t="s">
        <v>336</v>
      </c>
      <c r="C307" s="107" t="s">
        <v>317</v>
      </c>
      <c r="D307" s="107" t="s">
        <v>251</v>
      </c>
      <c r="E307" s="107" t="s">
        <v>221</v>
      </c>
      <c r="F307" s="108">
        <f>'Приложение 2'!D122</f>
        <v>0</v>
      </c>
      <c r="G307" s="108">
        <f>'Приложение 2'!E122</f>
        <v>0</v>
      </c>
      <c r="H307" s="108">
        <f>'Приложение 2'!F122</f>
        <v>0</v>
      </c>
    </row>
    <row r="308" spans="1:8" ht="33.75">
      <c r="A308" s="48" t="s">
        <v>187</v>
      </c>
      <c r="B308" s="107" t="s">
        <v>336</v>
      </c>
      <c r="C308" s="107" t="s">
        <v>317</v>
      </c>
      <c r="D308" s="107" t="s">
        <v>251</v>
      </c>
      <c r="E308" s="107" t="s">
        <v>244</v>
      </c>
      <c r="F308" s="108">
        <f>'Приложение 2'!D123</f>
        <v>992483.8999999999</v>
      </c>
      <c r="G308" s="108">
        <f>'Приложение 2'!E123</f>
        <v>2331387.1</v>
      </c>
      <c r="H308" s="108">
        <f>'Приложение 2'!F123</f>
        <v>2379855.85</v>
      </c>
    </row>
    <row r="309" spans="1:8" ht="16.5">
      <c r="A309" s="48" t="s">
        <v>188</v>
      </c>
      <c r="B309" s="107" t="s">
        <v>336</v>
      </c>
      <c r="C309" s="107" t="s">
        <v>317</v>
      </c>
      <c r="D309" s="107" t="s">
        <v>251</v>
      </c>
      <c r="E309" s="107" t="s">
        <v>249</v>
      </c>
      <c r="F309" s="108">
        <f>'Приложение 2'!D124</f>
        <v>0</v>
      </c>
      <c r="G309" s="108">
        <f>'Приложение 2'!E124</f>
        <v>240000</v>
      </c>
      <c r="H309" s="108">
        <f>'Приложение 2'!F124</f>
        <v>0</v>
      </c>
    </row>
    <row r="310" spans="1:8" ht="16.5">
      <c r="A310" s="70" t="s">
        <v>415</v>
      </c>
      <c r="B310" s="105" t="s">
        <v>336</v>
      </c>
      <c r="C310" s="105" t="s">
        <v>317</v>
      </c>
      <c r="D310" s="105" t="s">
        <v>275</v>
      </c>
      <c r="E310" s="105"/>
      <c r="F310" s="106">
        <f>F311</f>
        <v>2995900</v>
      </c>
      <c r="G310" s="106">
        <f>G311</f>
        <v>2995900</v>
      </c>
      <c r="H310" s="106">
        <f>H311</f>
        <v>2995900</v>
      </c>
    </row>
    <row r="311" spans="1:8" ht="33.75">
      <c r="A311" s="159" t="s">
        <v>276</v>
      </c>
      <c r="B311" s="107" t="s">
        <v>336</v>
      </c>
      <c r="C311" s="107" t="s">
        <v>317</v>
      </c>
      <c r="D311" s="107" t="s">
        <v>277</v>
      </c>
      <c r="E311" s="107"/>
      <c r="F311" s="108">
        <f>SUM(F312:F314)</f>
        <v>2995900</v>
      </c>
      <c r="G311" s="108">
        <f>SUM(G312:G314)</f>
        <v>2995900</v>
      </c>
      <c r="H311" s="108">
        <f>SUM(H312:H314)</f>
        <v>2995900</v>
      </c>
    </row>
    <row r="312" spans="1:8" ht="67.5">
      <c r="A312" s="160" t="s">
        <v>186</v>
      </c>
      <c r="B312" s="107" t="s">
        <v>336</v>
      </c>
      <c r="C312" s="107" t="s">
        <v>317</v>
      </c>
      <c r="D312" s="107" t="s">
        <v>277</v>
      </c>
      <c r="E312" s="107" t="s">
        <v>221</v>
      </c>
      <c r="F312" s="108">
        <f>'Приложение 2'!D159</f>
        <v>272580</v>
      </c>
      <c r="G312" s="108">
        <f>'Приложение 2'!E159</f>
        <v>127200</v>
      </c>
      <c r="H312" s="108">
        <f>'Приложение 2'!F159</f>
        <v>127200</v>
      </c>
    </row>
    <row r="313" spans="1:8" ht="33.75">
      <c r="A313" s="48" t="s">
        <v>187</v>
      </c>
      <c r="B313" s="107" t="s">
        <v>336</v>
      </c>
      <c r="C313" s="107" t="s">
        <v>317</v>
      </c>
      <c r="D313" s="107" t="s">
        <v>277</v>
      </c>
      <c r="E313" s="107" t="s">
        <v>244</v>
      </c>
      <c r="F313" s="108">
        <f>'Приложение 2'!D160</f>
        <v>1269598.02</v>
      </c>
      <c r="G313" s="108">
        <f>'Приложение 2'!E160</f>
        <v>1004200</v>
      </c>
      <c r="H313" s="108">
        <f>'Приложение 2'!F160</f>
        <v>1004200</v>
      </c>
    </row>
    <row r="314" spans="1:8" ht="16.5">
      <c r="A314" s="48" t="s">
        <v>188</v>
      </c>
      <c r="B314" s="107" t="s">
        <v>336</v>
      </c>
      <c r="C314" s="107" t="s">
        <v>317</v>
      </c>
      <c r="D314" s="107" t="s">
        <v>277</v>
      </c>
      <c r="E314" s="107" t="s">
        <v>249</v>
      </c>
      <c r="F314" s="108">
        <f>'Приложение 2'!D161</f>
        <v>1453721.98</v>
      </c>
      <c r="G314" s="108">
        <f>'Приложение 2'!E161</f>
        <v>1864500</v>
      </c>
      <c r="H314" s="108">
        <f>'Приложение 2'!F161</f>
        <v>1864500</v>
      </c>
    </row>
    <row r="315" spans="1:8" ht="16.5">
      <c r="A315" s="70" t="s">
        <v>302</v>
      </c>
      <c r="B315" s="105" t="s">
        <v>336</v>
      </c>
      <c r="C315" s="105" t="s">
        <v>317</v>
      </c>
      <c r="D315" s="105" t="s">
        <v>303</v>
      </c>
      <c r="E315" s="107"/>
      <c r="F315" s="106">
        <f>F316+F318</f>
        <v>7927711.69</v>
      </c>
      <c r="G315" s="106">
        <f>G316+G318</f>
        <v>3973516.03</v>
      </c>
      <c r="H315" s="106">
        <f>H316+H318</f>
        <v>3973516.03</v>
      </c>
    </row>
    <row r="316" spans="1:8" ht="33.75">
      <c r="A316" s="48" t="s">
        <v>304</v>
      </c>
      <c r="B316" s="107" t="s">
        <v>336</v>
      </c>
      <c r="C316" s="107" t="s">
        <v>317</v>
      </c>
      <c r="D316" s="107" t="s">
        <v>305</v>
      </c>
      <c r="E316" s="107"/>
      <c r="F316" s="108">
        <f>F317</f>
        <v>4444504.91</v>
      </c>
      <c r="G316" s="108">
        <f>G317</f>
        <v>2854216.03</v>
      </c>
      <c r="H316" s="108">
        <f>H317</f>
        <v>2854216.03</v>
      </c>
    </row>
    <row r="317" spans="1:8" ht="67.5">
      <c r="A317" s="48" t="s">
        <v>186</v>
      </c>
      <c r="B317" s="107" t="s">
        <v>336</v>
      </c>
      <c r="C317" s="107" t="s">
        <v>317</v>
      </c>
      <c r="D317" s="107" t="s">
        <v>305</v>
      </c>
      <c r="E317" s="107" t="s">
        <v>221</v>
      </c>
      <c r="F317" s="108">
        <f>'Приложение 3'!F202</f>
        <v>4444504.91</v>
      </c>
      <c r="G317" s="108">
        <f>'Приложение 3'!G202</f>
        <v>2854216.03</v>
      </c>
      <c r="H317" s="108">
        <f>'Приложение 3'!H202</f>
        <v>2854216.03</v>
      </c>
    </row>
    <row r="318" spans="1:8" ht="16.5">
      <c r="A318" s="48" t="s">
        <v>322</v>
      </c>
      <c r="B318" s="107" t="s">
        <v>336</v>
      </c>
      <c r="C318" s="107" t="s">
        <v>317</v>
      </c>
      <c r="D318" s="107" t="s">
        <v>323</v>
      </c>
      <c r="E318" s="107"/>
      <c r="F318" s="108">
        <f>SUM(F319:F320)</f>
        <v>3483206.7800000003</v>
      </c>
      <c r="G318" s="108">
        <f>SUM(G319:G320)</f>
        <v>1119300</v>
      </c>
      <c r="H318" s="108">
        <f>SUM(H319:H320)</f>
        <v>1119300</v>
      </c>
    </row>
    <row r="319" spans="1:8" ht="33.75">
      <c r="A319" s="48" t="s">
        <v>187</v>
      </c>
      <c r="B319" s="107" t="s">
        <v>336</v>
      </c>
      <c r="C319" s="107" t="s">
        <v>317</v>
      </c>
      <c r="D319" s="107" t="s">
        <v>323</v>
      </c>
      <c r="E319" s="107" t="s">
        <v>244</v>
      </c>
      <c r="F319" s="108">
        <v>0</v>
      </c>
      <c r="G319" s="108">
        <v>0</v>
      </c>
      <c r="H319" s="108">
        <v>0</v>
      </c>
    </row>
    <row r="320" spans="1:8" ht="16.5">
      <c r="A320" s="48" t="s">
        <v>188</v>
      </c>
      <c r="B320" s="107" t="s">
        <v>336</v>
      </c>
      <c r="C320" s="107" t="s">
        <v>317</v>
      </c>
      <c r="D320" s="107" t="s">
        <v>323</v>
      </c>
      <c r="E320" s="107" t="s">
        <v>249</v>
      </c>
      <c r="F320" s="108">
        <f>'Приложение 3'!F208+'Приложение 3'!F205</f>
        <v>3483206.7800000003</v>
      </c>
      <c r="G320" s="108">
        <f>'Приложение 3'!G208+'Приложение 3'!G205</f>
        <v>1119300</v>
      </c>
      <c r="H320" s="108">
        <f>'Приложение 3'!H208+'Приложение 3'!H205</f>
        <v>1119300</v>
      </c>
    </row>
    <row r="321" spans="1:8" ht="16.5">
      <c r="A321" s="70" t="s">
        <v>371</v>
      </c>
      <c r="B321" s="105" t="s">
        <v>321</v>
      </c>
      <c r="C321" s="105"/>
      <c r="D321" s="105"/>
      <c r="E321" s="105"/>
      <c r="F321" s="106">
        <f>F322+F337</f>
        <v>185157619.07999998</v>
      </c>
      <c r="G321" s="106">
        <f>G322+G337</f>
        <v>138072363.33999997</v>
      </c>
      <c r="H321" s="106">
        <f>H322+H337</f>
        <v>139031568.62</v>
      </c>
    </row>
    <row r="322" spans="1:8" ht="16.5">
      <c r="A322" s="70" t="s">
        <v>372</v>
      </c>
      <c r="B322" s="105" t="s">
        <v>321</v>
      </c>
      <c r="C322" s="105" t="s">
        <v>299</v>
      </c>
      <c r="D322" s="105"/>
      <c r="E322" s="105"/>
      <c r="F322" s="106">
        <f>F323+F332</f>
        <v>176657619.07999998</v>
      </c>
      <c r="G322" s="106">
        <f>G323+G332</f>
        <v>130072363.33999999</v>
      </c>
      <c r="H322" s="106">
        <f>H323+H332</f>
        <v>131031568.61999999</v>
      </c>
    </row>
    <row r="323" spans="1:8" ht="33.75">
      <c r="A323" s="70" t="s">
        <v>267</v>
      </c>
      <c r="B323" s="105" t="s">
        <v>321</v>
      </c>
      <c r="C323" s="105" t="s">
        <v>299</v>
      </c>
      <c r="D323" s="105" t="s">
        <v>268</v>
      </c>
      <c r="E323" s="105"/>
      <c r="F323" s="106">
        <f>F324+F329</f>
        <v>135482556.88</v>
      </c>
      <c r="G323" s="106">
        <f>G324+G329</f>
        <v>130072363.33999999</v>
      </c>
      <c r="H323" s="106">
        <f>H324+H329</f>
        <v>131031568.61999999</v>
      </c>
    </row>
    <row r="324" spans="1:8" ht="16.5">
      <c r="A324" s="48" t="s">
        <v>184</v>
      </c>
      <c r="B324" s="107" t="s">
        <v>321</v>
      </c>
      <c r="C324" s="107" t="s">
        <v>299</v>
      </c>
      <c r="D324" s="107" t="s">
        <v>269</v>
      </c>
      <c r="E324" s="107"/>
      <c r="F324" s="108">
        <f>SUM(F325:F328)</f>
        <v>127982556.88</v>
      </c>
      <c r="G324" s="108">
        <f>SUM(G325:G328)</f>
        <v>122072363.33999999</v>
      </c>
      <c r="H324" s="108">
        <f>SUM(H325:H328)</f>
        <v>123031568.61999999</v>
      </c>
    </row>
    <row r="325" spans="1:8" ht="67.5">
      <c r="A325" s="48" t="s">
        <v>186</v>
      </c>
      <c r="B325" s="107" t="s">
        <v>321</v>
      </c>
      <c r="C325" s="107" t="s">
        <v>299</v>
      </c>
      <c r="D325" s="107" t="s">
        <v>269</v>
      </c>
      <c r="E325" s="107" t="s">
        <v>221</v>
      </c>
      <c r="F325" s="108">
        <f>'Приложение 2'!D147</f>
        <v>98332282.53</v>
      </c>
      <c r="G325" s="108">
        <f>'Приложение 2'!E147</f>
        <v>93985125.77</v>
      </c>
      <c r="H325" s="108">
        <f>'Приложение 2'!F147</f>
        <v>93985125.77</v>
      </c>
    </row>
    <row r="326" spans="1:8" ht="33.75">
      <c r="A326" s="48" t="s">
        <v>187</v>
      </c>
      <c r="B326" s="107" t="s">
        <v>321</v>
      </c>
      <c r="C326" s="107" t="s">
        <v>299</v>
      </c>
      <c r="D326" s="107" t="s">
        <v>269</v>
      </c>
      <c r="E326" s="107" t="s">
        <v>244</v>
      </c>
      <c r="F326" s="108">
        <f>'Приложение 2'!D148</f>
        <v>26553297.24</v>
      </c>
      <c r="G326" s="108">
        <f>'Приложение 2'!E148</f>
        <v>24990260.46</v>
      </c>
      <c r="H326" s="108">
        <f>'Приложение 2'!F148</f>
        <v>25949465.74</v>
      </c>
    </row>
    <row r="327" spans="1:8" ht="16.5">
      <c r="A327" s="48" t="s">
        <v>188</v>
      </c>
      <c r="B327" s="107" t="s">
        <v>321</v>
      </c>
      <c r="C327" s="107" t="s">
        <v>299</v>
      </c>
      <c r="D327" s="107" t="s">
        <v>269</v>
      </c>
      <c r="E327" s="107" t="s">
        <v>249</v>
      </c>
      <c r="F327" s="108">
        <v>0</v>
      </c>
      <c r="G327" s="108">
        <v>0</v>
      </c>
      <c r="H327" s="108">
        <v>0</v>
      </c>
    </row>
    <row r="328" spans="1:8" ht="16.5">
      <c r="A328" s="48" t="s">
        <v>189</v>
      </c>
      <c r="B328" s="107" t="s">
        <v>321</v>
      </c>
      <c r="C328" s="107" t="s">
        <v>299</v>
      </c>
      <c r="D328" s="107" t="s">
        <v>269</v>
      </c>
      <c r="E328" s="107" t="s">
        <v>223</v>
      </c>
      <c r="F328" s="108">
        <f>'Приложение 2'!D150</f>
        <v>3096977.11</v>
      </c>
      <c r="G328" s="108">
        <f>'Приложение 2'!E150</f>
        <v>3096977.11</v>
      </c>
      <c r="H328" s="108">
        <f>'Приложение 2'!F150</f>
        <v>3096977.11</v>
      </c>
    </row>
    <row r="329" spans="1:8" ht="16.5">
      <c r="A329" s="48" t="s">
        <v>272</v>
      </c>
      <c r="B329" s="107" t="s">
        <v>321</v>
      </c>
      <c r="C329" s="107" t="s">
        <v>299</v>
      </c>
      <c r="D329" s="107" t="s">
        <v>273</v>
      </c>
      <c r="E329" s="107"/>
      <c r="F329" s="108">
        <f>SUM(F330:F331)</f>
        <v>7500000</v>
      </c>
      <c r="G329" s="108">
        <f>SUM(G330:G331)</f>
        <v>8000000</v>
      </c>
      <c r="H329" s="108">
        <f>SUM(H330:H331)</f>
        <v>8000000</v>
      </c>
    </row>
    <row r="330" spans="1:8" ht="67.5">
      <c r="A330" s="48" t="s">
        <v>186</v>
      </c>
      <c r="B330" s="107" t="s">
        <v>321</v>
      </c>
      <c r="C330" s="107" t="s">
        <v>299</v>
      </c>
      <c r="D330" s="107" t="s">
        <v>273</v>
      </c>
      <c r="E330" s="107" t="s">
        <v>221</v>
      </c>
      <c r="F330" s="108">
        <f>'Приложение 2'!D155</f>
        <v>940000</v>
      </c>
      <c r="G330" s="108">
        <f>'Приложение 2'!E155</f>
        <v>2240000</v>
      </c>
      <c r="H330" s="108">
        <f>'Приложение 2'!F155</f>
        <v>2240000</v>
      </c>
    </row>
    <row r="331" spans="1:8" ht="33.75">
      <c r="A331" s="48" t="s">
        <v>187</v>
      </c>
      <c r="B331" s="107" t="s">
        <v>321</v>
      </c>
      <c r="C331" s="107" t="s">
        <v>299</v>
      </c>
      <c r="D331" s="107" t="s">
        <v>273</v>
      </c>
      <c r="E331" s="107" t="s">
        <v>244</v>
      </c>
      <c r="F331" s="108">
        <f>'Приложение 2'!D156</f>
        <v>6560000</v>
      </c>
      <c r="G331" s="108">
        <f>'Приложение 2'!E156</f>
        <v>5760000</v>
      </c>
      <c r="H331" s="108">
        <f>'Приложение 2'!F156</f>
        <v>5760000</v>
      </c>
    </row>
    <row r="332" spans="1:8" s="37" customFormat="1" ht="16.5">
      <c r="A332" s="70" t="s">
        <v>302</v>
      </c>
      <c r="B332" s="105" t="s">
        <v>321</v>
      </c>
      <c r="C332" s="105" t="s">
        <v>299</v>
      </c>
      <c r="D332" s="105" t="s">
        <v>303</v>
      </c>
      <c r="E332" s="105"/>
      <c r="F332" s="106">
        <f>F333</f>
        <v>41175062.2</v>
      </c>
      <c r="G332" s="106">
        <f>G333</f>
        <v>0</v>
      </c>
      <c r="H332" s="106">
        <f>H333</f>
        <v>0</v>
      </c>
    </row>
    <row r="333" spans="1:8" ht="16.5">
      <c r="A333" s="48" t="s">
        <v>322</v>
      </c>
      <c r="B333" s="107" t="s">
        <v>321</v>
      </c>
      <c r="C333" s="107" t="s">
        <v>299</v>
      </c>
      <c r="D333" s="107" t="s">
        <v>323</v>
      </c>
      <c r="E333" s="107"/>
      <c r="F333" s="108">
        <f>SUM(F334:F336)</f>
        <v>41175062.2</v>
      </c>
      <c r="G333" s="108">
        <f>SUM(G334:G336)</f>
        <v>0</v>
      </c>
      <c r="H333" s="108">
        <f>SUM(H334:H336)</f>
        <v>0</v>
      </c>
    </row>
    <row r="334" spans="1:8" ht="33.75">
      <c r="A334" s="48" t="s">
        <v>187</v>
      </c>
      <c r="B334" s="107" t="s">
        <v>321</v>
      </c>
      <c r="C334" s="107" t="s">
        <v>299</v>
      </c>
      <c r="D334" s="107" t="s">
        <v>323</v>
      </c>
      <c r="E334" s="107" t="s">
        <v>244</v>
      </c>
      <c r="F334" s="108">
        <f>'Приложение 3'!F214</f>
        <v>39514008</v>
      </c>
      <c r="G334" s="108">
        <f>'Приложение 3'!G214</f>
        <v>0</v>
      </c>
      <c r="H334" s="108">
        <f>'Приложение 3'!H214</f>
        <v>0</v>
      </c>
    </row>
    <row r="335" spans="1:8" ht="16.5">
      <c r="A335" s="48" t="s">
        <v>188</v>
      </c>
      <c r="B335" s="107" t="s">
        <v>321</v>
      </c>
      <c r="C335" s="107" t="s">
        <v>299</v>
      </c>
      <c r="D335" s="107" t="s">
        <v>323</v>
      </c>
      <c r="E335" s="107" t="s">
        <v>249</v>
      </c>
      <c r="F335" s="108">
        <f>'Приложение 3'!F215</f>
        <v>988873</v>
      </c>
      <c r="G335" s="108">
        <f>'Приложение 3'!G215</f>
        <v>0</v>
      </c>
      <c r="H335" s="108">
        <f>'Приложение 3'!H215</f>
        <v>0</v>
      </c>
    </row>
    <row r="336" spans="1:8" ht="33.75">
      <c r="A336" s="48" t="s">
        <v>212</v>
      </c>
      <c r="B336" s="107" t="s">
        <v>321</v>
      </c>
      <c r="C336" s="107" t="s">
        <v>299</v>
      </c>
      <c r="D336" s="107" t="s">
        <v>323</v>
      </c>
      <c r="E336" s="107" t="s">
        <v>258</v>
      </c>
      <c r="F336" s="108">
        <f>'Приложение 3'!F216</f>
        <v>672181.2</v>
      </c>
      <c r="G336" s="108">
        <f>'Приложение 3'!G216</f>
        <v>0</v>
      </c>
      <c r="H336" s="108">
        <f>'Приложение 3'!H216</f>
        <v>0</v>
      </c>
    </row>
    <row r="337" spans="1:8" ht="16.5">
      <c r="A337" s="70" t="s">
        <v>416</v>
      </c>
      <c r="B337" s="105" t="s">
        <v>321</v>
      </c>
      <c r="C337" s="105" t="s">
        <v>301</v>
      </c>
      <c r="D337" s="105"/>
      <c r="E337" s="105"/>
      <c r="F337" s="106">
        <f aca="true" t="shared" si="27" ref="F337:H338">F338</f>
        <v>8500000</v>
      </c>
      <c r="G337" s="106">
        <f t="shared" si="27"/>
        <v>8000000</v>
      </c>
      <c r="H337" s="106">
        <f t="shared" si="27"/>
        <v>8000000</v>
      </c>
    </row>
    <row r="338" spans="1:8" s="37" customFormat="1" ht="33.75">
      <c r="A338" s="70" t="s">
        <v>267</v>
      </c>
      <c r="B338" s="105" t="s">
        <v>321</v>
      </c>
      <c r="C338" s="105" t="s">
        <v>301</v>
      </c>
      <c r="D338" s="105" t="s">
        <v>268</v>
      </c>
      <c r="E338" s="105"/>
      <c r="F338" s="106">
        <f t="shared" si="27"/>
        <v>8500000</v>
      </c>
      <c r="G338" s="106">
        <f t="shared" si="27"/>
        <v>8000000</v>
      </c>
      <c r="H338" s="106">
        <f t="shared" si="27"/>
        <v>8000000</v>
      </c>
    </row>
    <row r="339" spans="1:8" ht="16.5">
      <c r="A339" s="48" t="s">
        <v>270</v>
      </c>
      <c r="B339" s="107" t="s">
        <v>321</v>
      </c>
      <c r="C339" s="107" t="s">
        <v>301</v>
      </c>
      <c r="D339" s="107" t="s">
        <v>271</v>
      </c>
      <c r="E339" s="107"/>
      <c r="F339" s="108">
        <f>SUM(F340:F341)</f>
        <v>8500000</v>
      </c>
      <c r="G339" s="108">
        <f>SUM(G340:G341)</f>
        <v>8000000</v>
      </c>
      <c r="H339" s="108">
        <f>SUM(H340:H341)</f>
        <v>8000000</v>
      </c>
    </row>
    <row r="340" spans="1:8" ht="67.5">
      <c r="A340" s="48" t="s">
        <v>186</v>
      </c>
      <c r="B340" s="107" t="s">
        <v>321</v>
      </c>
      <c r="C340" s="107" t="s">
        <v>301</v>
      </c>
      <c r="D340" s="107" t="s">
        <v>271</v>
      </c>
      <c r="E340" s="107" t="s">
        <v>221</v>
      </c>
      <c r="F340" s="108">
        <f>'Приложение 2'!D152</f>
        <v>920000</v>
      </c>
      <c r="G340" s="108">
        <f>'Приложение 2'!E152</f>
        <v>2120000</v>
      </c>
      <c r="H340" s="108">
        <f>'Приложение 2'!F152</f>
        <v>2120000</v>
      </c>
    </row>
    <row r="341" spans="1:8" ht="33.75">
      <c r="A341" s="48" t="s">
        <v>187</v>
      </c>
      <c r="B341" s="107" t="s">
        <v>321</v>
      </c>
      <c r="C341" s="107" t="s">
        <v>301</v>
      </c>
      <c r="D341" s="107" t="s">
        <v>271</v>
      </c>
      <c r="E341" s="107" t="s">
        <v>244</v>
      </c>
      <c r="F341" s="108">
        <f>'Приложение 2'!D153</f>
        <v>7580000</v>
      </c>
      <c r="G341" s="108">
        <f>'Приложение 2'!E153</f>
        <v>5880000</v>
      </c>
      <c r="H341" s="108">
        <f>'Приложение 2'!F153</f>
        <v>5880000</v>
      </c>
    </row>
    <row r="342" spans="1:8" ht="51">
      <c r="A342" s="118" t="s">
        <v>375</v>
      </c>
      <c r="B342" s="161" t="s">
        <v>376</v>
      </c>
      <c r="C342" s="161"/>
      <c r="D342" s="161"/>
      <c r="E342" s="162"/>
      <c r="F342" s="120">
        <f aca="true" t="shared" si="28" ref="F342:H345">F343</f>
        <v>461564467.12</v>
      </c>
      <c r="G342" s="120">
        <f t="shared" si="28"/>
        <v>0</v>
      </c>
      <c r="H342" s="120">
        <f t="shared" si="28"/>
        <v>0</v>
      </c>
    </row>
    <row r="343" spans="1:8" ht="16.5">
      <c r="A343" s="121" t="s">
        <v>377</v>
      </c>
      <c r="B343" s="161" t="s">
        <v>376</v>
      </c>
      <c r="C343" s="161" t="s">
        <v>309</v>
      </c>
      <c r="D343" s="161"/>
      <c r="E343" s="162"/>
      <c r="F343" s="120">
        <f t="shared" si="28"/>
        <v>461564467.12</v>
      </c>
      <c r="G343" s="120">
        <f t="shared" si="28"/>
        <v>0</v>
      </c>
      <c r="H343" s="120">
        <f t="shared" si="28"/>
        <v>0</v>
      </c>
    </row>
    <row r="344" spans="1:8" ht="16.5">
      <c r="A344" s="70" t="s">
        <v>302</v>
      </c>
      <c r="B344" s="161" t="s">
        <v>376</v>
      </c>
      <c r="C344" s="161" t="s">
        <v>309</v>
      </c>
      <c r="D344" s="161" t="s">
        <v>303</v>
      </c>
      <c r="E344" s="162"/>
      <c r="F344" s="120">
        <f t="shared" si="28"/>
        <v>461564467.12</v>
      </c>
      <c r="G344" s="120">
        <f t="shared" si="28"/>
        <v>0</v>
      </c>
      <c r="H344" s="120">
        <f t="shared" si="28"/>
        <v>0</v>
      </c>
    </row>
    <row r="345" spans="1:8" ht="16.5">
      <c r="A345" s="48" t="s">
        <v>378</v>
      </c>
      <c r="B345" s="161" t="s">
        <v>376</v>
      </c>
      <c r="C345" s="161" t="s">
        <v>309</v>
      </c>
      <c r="D345" s="161" t="s">
        <v>379</v>
      </c>
      <c r="E345" s="162"/>
      <c r="F345" s="120">
        <f t="shared" si="28"/>
        <v>461564467.12</v>
      </c>
      <c r="G345" s="120">
        <f t="shared" si="28"/>
        <v>0</v>
      </c>
      <c r="H345" s="120">
        <f t="shared" si="28"/>
        <v>0</v>
      </c>
    </row>
    <row r="346" spans="1:8" ht="16.5">
      <c r="A346" s="163" t="s">
        <v>378</v>
      </c>
      <c r="B346" s="164" t="s">
        <v>376</v>
      </c>
      <c r="C346" s="164" t="s">
        <v>309</v>
      </c>
      <c r="D346" s="164" t="s">
        <v>379</v>
      </c>
      <c r="E346" s="165" t="s">
        <v>382</v>
      </c>
      <c r="F346" s="17">
        <f>'Приложение 3'!F222+'Приложение 3'!F224</f>
        <v>461564467.12</v>
      </c>
      <c r="G346" s="17">
        <f>'Приложение 3'!G222+'Приложение 3'!G224</f>
        <v>0</v>
      </c>
      <c r="H346" s="17">
        <f>'Приложение 3'!H222+'Приложение 3'!H224</f>
        <v>0</v>
      </c>
    </row>
  </sheetData>
  <sheetProtection/>
  <autoFilter ref="A14:H346"/>
  <mergeCells count="5">
    <mergeCell ref="A11:H11"/>
    <mergeCell ref="G3:H3"/>
    <mergeCell ref="G4:H4"/>
    <mergeCell ref="G5:H5"/>
    <mergeCell ref="G7:H7"/>
  </mergeCells>
  <printOptions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7"/>
  <sheetViews>
    <sheetView zoomScalePageLayoutView="0" workbookViewId="0" topLeftCell="A1">
      <selection activeCell="H3" sqref="H3:I8"/>
    </sheetView>
  </sheetViews>
  <sheetFormatPr defaultColWidth="9.140625" defaultRowHeight="15"/>
  <cols>
    <col min="1" max="1" width="60.8515625" style="2" customWidth="1"/>
    <col min="2" max="2" width="9.8515625" style="2" customWidth="1"/>
    <col min="3" max="3" width="6.140625" style="126" customWidth="1"/>
    <col min="4" max="4" width="6.00390625" style="126" customWidth="1"/>
    <col min="5" max="5" width="17.421875" style="2" customWidth="1"/>
    <col min="6" max="6" width="8.00390625" style="2" customWidth="1"/>
    <col min="7" max="7" width="19.28125" style="127" customWidth="1"/>
    <col min="8" max="8" width="21.00390625" style="131" customWidth="1"/>
    <col min="9" max="9" width="21.00390625" style="86" customWidth="1"/>
    <col min="10" max="10" width="9.140625" style="1" customWidth="1"/>
    <col min="11" max="11" width="19.140625" style="1" customWidth="1"/>
    <col min="12" max="12" width="18.7109375" style="1" customWidth="1"/>
    <col min="13" max="14" width="20.421875" style="1" customWidth="1"/>
    <col min="15" max="15" width="9.140625" style="1" customWidth="1"/>
    <col min="16" max="16384" width="9.140625" style="1" customWidth="1"/>
  </cols>
  <sheetData>
    <row r="1" spans="8:9" ht="15">
      <c r="H1" s="127"/>
      <c r="I1" s="127"/>
    </row>
    <row r="2" spans="5:9" ht="18">
      <c r="E2" s="128"/>
      <c r="H2" s="129" t="s">
        <v>631</v>
      </c>
      <c r="I2" s="95"/>
    </row>
    <row r="3" spans="5:9" ht="18">
      <c r="E3" s="128"/>
      <c r="H3" s="377" t="s">
        <v>772</v>
      </c>
      <c r="I3" s="377"/>
    </row>
    <row r="4" spans="5:9" ht="18">
      <c r="E4" s="128"/>
      <c r="H4" s="377" t="s">
        <v>17</v>
      </c>
      <c r="I4" s="377"/>
    </row>
    <row r="5" spans="5:9" ht="18">
      <c r="E5" s="128"/>
      <c r="H5" s="377" t="s">
        <v>18</v>
      </c>
      <c r="I5" s="377"/>
    </row>
    <row r="6" spans="5:9" ht="18">
      <c r="E6" s="128"/>
      <c r="H6" s="371" t="s">
        <v>773</v>
      </c>
      <c r="I6" s="371"/>
    </row>
    <row r="7" spans="5:9" ht="18">
      <c r="E7" s="128"/>
      <c r="H7" s="377" t="s">
        <v>774</v>
      </c>
      <c r="I7" s="377"/>
    </row>
    <row r="8" spans="5:9" ht="18">
      <c r="E8" s="128"/>
      <c r="H8" s="366"/>
      <c r="I8" s="127"/>
    </row>
    <row r="9" spans="8:9" ht="15">
      <c r="H9" s="127"/>
      <c r="I9" s="127"/>
    </row>
    <row r="11" spans="2:14" ht="59.25" customHeight="1">
      <c r="B11" s="166"/>
      <c r="N11" s="27"/>
    </row>
    <row r="12" spans="1:9" ht="55.5" customHeight="1">
      <c r="A12" s="381" t="s">
        <v>421</v>
      </c>
      <c r="B12" s="381"/>
      <c r="C12" s="381"/>
      <c r="D12" s="381"/>
      <c r="E12" s="381"/>
      <c r="F12" s="381"/>
      <c r="G12" s="381"/>
      <c r="H12" s="381"/>
      <c r="I12" s="381"/>
    </row>
    <row r="13" ht="15.75">
      <c r="B13" s="166"/>
    </row>
    <row r="14" spans="1:9" s="85" customFormat="1" ht="15.75">
      <c r="A14" s="2"/>
      <c r="B14" s="166"/>
      <c r="C14" s="126"/>
      <c r="D14" s="126"/>
      <c r="E14" s="2"/>
      <c r="F14" s="2"/>
      <c r="G14" s="130"/>
      <c r="H14" s="131"/>
      <c r="I14" s="130" t="s">
        <v>178</v>
      </c>
    </row>
    <row r="15" spans="1:14" s="83" customFormat="1" ht="16.5">
      <c r="A15" s="31" t="s">
        <v>20</v>
      </c>
      <c r="B15" s="98" t="s">
        <v>420</v>
      </c>
      <c r="C15" s="132" t="s">
        <v>295</v>
      </c>
      <c r="D15" s="132" t="s">
        <v>296</v>
      </c>
      <c r="E15" s="31" t="s">
        <v>179</v>
      </c>
      <c r="F15" s="31" t="s">
        <v>180</v>
      </c>
      <c r="G15" s="99" t="s">
        <v>21</v>
      </c>
      <c r="H15" s="99" t="s">
        <v>22</v>
      </c>
      <c r="I15" s="99" t="s">
        <v>166</v>
      </c>
      <c r="K15" s="84"/>
      <c r="L15" s="84"/>
      <c r="M15" s="84"/>
      <c r="N15" s="84"/>
    </row>
    <row r="16" spans="1:14" s="83" customFormat="1" ht="33.75">
      <c r="A16" s="118" t="s">
        <v>417</v>
      </c>
      <c r="B16" s="101">
        <v>701</v>
      </c>
      <c r="C16" s="132"/>
      <c r="D16" s="132"/>
      <c r="E16" s="31"/>
      <c r="F16" s="31"/>
      <c r="G16" s="167">
        <f>G17+G79+G137+G146+G225+G257+G265+G322+G343+G88+G127</f>
        <v>3472798365.0299997</v>
      </c>
      <c r="H16" s="167">
        <f>H17+H79+H137+H146+H225+H257+H265+H322+H343+H88+H127</f>
        <v>2215550585.6499996</v>
      </c>
      <c r="I16" s="167">
        <f>I17+I79+I137+I146+I225+I257+I265+I322+I343+I88+I127</f>
        <v>2219734655.37</v>
      </c>
      <c r="K16" s="84"/>
      <c r="L16" s="84"/>
      <c r="M16" s="84"/>
      <c r="N16" s="84"/>
    </row>
    <row r="17" spans="1:14" ht="16.5">
      <c r="A17" s="70" t="s">
        <v>298</v>
      </c>
      <c r="B17" s="101">
        <v>701</v>
      </c>
      <c r="C17" s="105" t="s">
        <v>299</v>
      </c>
      <c r="D17" s="105"/>
      <c r="E17" s="105"/>
      <c r="F17" s="105"/>
      <c r="G17" s="106">
        <f>G18+G22+G28+G35+G45+G49+G41</f>
        <v>798036147.49</v>
      </c>
      <c r="H17" s="106">
        <f>H18+H22+H28+H35+H45+H49+H41</f>
        <v>616264674.5699999</v>
      </c>
      <c r="I17" s="106">
        <f>I18+I22+I28+I35+I45+I49+I41</f>
        <v>616264674.5699999</v>
      </c>
      <c r="N17" s="27"/>
    </row>
    <row r="18" spans="1:9" ht="33.75">
      <c r="A18" s="70" t="s">
        <v>300</v>
      </c>
      <c r="B18" s="101">
        <v>701</v>
      </c>
      <c r="C18" s="105" t="s">
        <v>299</v>
      </c>
      <c r="D18" s="105" t="s">
        <v>301</v>
      </c>
      <c r="E18" s="105"/>
      <c r="F18" s="105"/>
      <c r="G18" s="106">
        <f aca="true" t="shared" si="0" ref="G18:I20">G19</f>
        <v>8175148.1</v>
      </c>
      <c r="H18" s="106">
        <f t="shared" si="0"/>
        <v>7119360</v>
      </c>
      <c r="I18" s="106">
        <f t="shared" si="0"/>
        <v>7119360</v>
      </c>
    </row>
    <row r="19" spans="1:9" s="136" customFormat="1" ht="16.5">
      <c r="A19" s="70" t="s">
        <v>302</v>
      </c>
      <c r="B19" s="101">
        <v>701</v>
      </c>
      <c r="C19" s="105" t="s">
        <v>299</v>
      </c>
      <c r="D19" s="105" t="s">
        <v>301</v>
      </c>
      <c r="E19" s="105" t="s">
        <v>303</v>
      </c>
      <c r="F19" s="105"/>
      <c r="G19" s="106">
        <f t="shared" si="0"/>
        <v>8175148.1</v>
      </c>
      <c r="H19" s="106">
        <f t="shared" si="0"/>
        <v>7119360</v>
      </c>
      <c r="I19" s="106">
        <f t="shared" si="0"/>
        <v>7119360</v>
      </c>
    </row>
    <row r="20" spans="1:9" ht="33.75">
      <c r="A20" s="48" t="s">
        <v>304</v>
      </c>
      <c r="B20" s="101">
        <v>701</v>
      </c>
      <c r="C20" s="107" t="s">
        <v>299</v>
      </c>
      <c r="D20" s="107" t="s">
        <v>301</v>
      </c>
      <c r="E20" s="107" t="s">
        <v>305</v>
      </c>
      <c r="F20" s="107"/>
      <c r="G20" s="108">
        <f t="shared" si="0"/>
        <v>8175148.1</v>
      </c>
      <c r="H20" s="108">
        <f t="shared" si="0"/>
        <v>7119360</v>
      </c>
      <c r="I20" s="108">
        <f t="shared" si="0"/>
        <v>7119360</v>
      </c>
    </row>
    <row r="21" spans="1:9" ht="67.5">
      <c r="A21" s="48" t="s">
        <v>186</v>
      </c>
      <c r="B21" s="101">
        <v>701</v>
      </c>
      <c r="C21" s="107" t="s">
        <v>299</v>
      </c>
      <c r="D21" s="107" t="s">
        <v>301</v>
      </c>
      <c r="E21" s="107" t="s">
        <v>305</v>
      </c>
      <c r="F21" s="107" t="s">
        <v>221</v>
      </c>
      <c r="G21" s="137">
        <f>'Приложение 4'!F20</f>
        <v>8175148.1</v>
      </c>
      <c r="H21" s="137">
        <f>'Приложение 4'!G20</f>
        <v>7119360</v>
      </c>
      <c r="I21" s="137">
        <f>'Приложение 4'!H20</f>
        <v>7119360</v>
      </c>
    </row>
    <row r="22" spans="1:9" s="136" customFormat="1" ht="51">
      <c r="A22" s="70" t="s">
        <v>308</v>
      </c>
      <c r="B22" s="101">
        <v>701</v>
      </c>
      <c r="C22" s="105" t="s">
        <v>299</v>
      </c>
      <c r="D22" s="105" t="s">
        <v>309</v>
      </c>
      <c r="E22" s="105"/>
      <c r="F22" s="105"/>
      <c r="G22" s="106">
        <f aca="true" t="shared" si="1" ref="G22:I23">G23</f>
        <v>3854672.66</v>
      </c>
      <c r="H22" s="106">
        <f t="shared" si="1"/>
        <v>3952396.66</v>
      </c>
      <c r="I22" s="106">
        <f t="shared" si="1"/>
        <v>3952396.66</v>
      </c>
    </row>
    <row r="23" spans="1:9" ht="16.5">
      <c r="A23" s="70" t="s">
        <v>302</v>
      </c>
      <c r="B23" s="101">
        <v>701</v>
      </c>
      <c r="C23" s="105" t="s">
        <v>299</v>
      </c>
      <c r="D23" s="105" t="s">
        <v>309</v>
      </c>
      <c r="E23" s="105" t="s">
        <v>303</v>
      </c>
      <c r="F23" s="105"/>
      <c r="G23" s="106">
        <f t="shared" si="1"/>
        <v>3854672.66</v>
      </c>
      <c r="H23" s="106">
        <f t="shared" si="1"/>
        <v>3952396.66</v>
      </c>
      <c r="I23" s="106">
        <f t="shared" si="1"/>
        <v>3952396.66</v>
      </c>
    </row>
    <row r="24" spans="1:9" ht="33.75">
      <c r="A24" s="48" t="s">
        <v>304</v>
      </c>
      <c r="B24" s="101">
        <v>701</v>
      </c>
      <c r="C24" s="107" t="s">
        <v>299</v>
      </c>
      <c r="D24" s="107" t="s">
        <v>309</v>
      </c>
      <c r="E24" s="107" t="s">
        <v>305</v>
      </c>
      <c r="F24" s="107"/>
      <c r="G24" s="108">
        <f>G25+G26+G27</f>
        <v>3854672.66</v>
      </c>
      <c r="H24" s="108">
        <f>H25+H26+H27</f>
        <v>3952396.66</v>
      </c>
      <c r="I24" s="108">
        <f>I25+I26+I27</f>
        <v>3952396.66</v>
      </c>
    </row>
    <row r="25" spans="1:9" ht="67.5">
      <c r="A25" s="48" t="s">
        <v>186</v>
      </c>
      <c r="B25" s="101">
        <v>701</v>
      </c>
      <c r="C25" s="107" t="s">
        <v>299</v>
      </c>
      <c r="D25" s="107" t="s">
        <v>309</v>
      </c>
      <c r="E25" s="107" t="s">
        <v>305</v>
      </c>
      <c r="F25" s="107" t="s">
        <v>221</v>
      </c>
      <c r="G25" s="108">
        <f>'Приложение 4'!F24</f>
        <v>537510.66</v>
      </c>
      <c r="H25" s="108">
        <f>'Приложение 4'!G24</f>
        <v>574034.66</v>
      </c>
      <c r="I25" s="108">
        <f>'Приложение 4'!H24</f>
        <v>574034.66</v>
      </c>
    </row>
    <row r="26" spans="1:9" ht="33.75">
      <c r="A26" s="48" t="s">
        <v>187</v>
      </c>
      <c r="B26" s="101">
        <v>701</v>
      </c>
      <c r="C26" s="107" t="s">
        <v>299</v>
      </c>
      <c r="D26" s="107" t="s">
        <v>309</v>
      </c>
      <c r="E26" s="107" t="s">
        <v>305</v>
      </c>
      <c r="F26" s="107" t="s">
        <v>244</v>
      </c>
      <c r="G26" s="108">
        <f>'Приложение 4'!F25</f>
        <v>3297162</v>
      </c>
      <c r="H26" s="108">
        <f>'Приложение 4'!G25</f>
        <v>3358362</v>
      </c>
      <c r="I26" s="108">
        <f>'Приложение 4'!H25</f>
        <v>3358362</v>
      </c>
    </row>
    <row r="27" spans="1:9" ht="16.5">
      <c r="A27" s="48" t="s">
        <v>189</v>
      </c>
      <c r="B27" s="101">
        <v>701</v>
      </c>
      <c r="C27" s="107" t="s">
        <v>299</v>
      </c>
      <c r="D27" s="107" t="s">
        <v>309</v>
      </c>
      <c r="E27" s="107" t="s">
        <v>305</v>
      </c>
      <c r="F27" s="107" t="s">
        <v>223</v>
      </c>
      <c r="G27" s="108">
        <f>'Приложение 4'!F26</f>
        <v>20000</v>
      </c>
      <c r="H27" s="108">
        <f>'Приложение 4'!G26</f>
        <v>20000</v>
      </c>
      <c r="I27" s="108">
        <f>'Приложение 4'!H26</f>
        <v>20000</v>
      </c>
    </row>
    <row r="28" spans="1:9" ht="67.5">
      <c r="A28" s="110" t="s">
        <v>312</v>
      </c>
      <c r="B28" s="101">
        <v>701</v>
      </c>
      <c r="C28" s="105" t="s">
        <v>299</v>
      </c>
      <c r="D28" s="105" t="s">
        <v>313</v>
      </c>
      <c r="E28" s="105"/>
      <c r="F28" s="105"/>
      <c r="G28" s="106">
        <f aca="true" t="shared" si="2" ref="G28:I29">G29</f>
        <v>71110942.56</v>
      </c>
      <c r="H28" s="106">
        <f t="shared" si="2"/>
        <v>63299903.52</v>
      </c>
      <c r="I28" s="106">
        <f t="shared" si="2"/>
        <v>63299903.52</v>
      </c>
    </row>
    <row r="29" spans="1:9" ht="16.5">
      <c r="A29" s="70" t="s">
        <v>302</v>
      </c>
      <c r="B29" s="101">
        <v>701</v>
      </c>
      <c r="C29" s="105" t="s">
        <v>299</v>
      </c>
      <c r="D29" s="105" t="s">
        <v>313</v>
      </c>
      <c r="E29" s="105" t="s">
        <v>303</v>
      </c>
      <c r="F29" s="105"/>
      <c r="G29" s="106">
        <f t="shared" si="2"/>
        <v>71110942.56</v>
      </c>
      <c r="H29" s="106">
        <f t="shared" si="2"/>
        <v>63299903.52</v>
      </c>
      <c r="I29" s="106">
        <f t="shared" si="2"/>
        <v>63299903.52</v>
      </c>
    </row>
    <row r="30" spans="1:9" ht="33.75">
      <c r="A30" s="48" t="s">
        <v>304</v>
      </c>
      <c r="B30" s="101">
        <v>701</v>
      </c>
      <c r="C30" s="107" t="s">
        <v>299</v>
      </c>
      <c r="D30" s="107" t="s">
        <v>313</v>
      </c>
      <c r="E30" s="107" t="s">
        <v>305</v>
      </c>
      <c r="F30" s="107"/>
      <c r="G30" s="108">
        <f>SUM(G31:G34)</f>
        <v>71110942.56</v>
      </c>
      <c r="H30" s="108">
        <f>SUM(H31:H34)</f>
        <v>63299903.52</v>
      </c>
      <c r="I30" s="108">
        <f>SUM(I31:I34)</f>
        <v>63299903.52</v>
      </c>
    </row>
    <row r="31" spans="1:9" ht="67.5">
      <c r="A31" s="48" t="s">
        <v>186</v>
      </c>
      <c r="B31" s="101">
        <v>701</v>
      </c>
      <c r="C31" s="107" t="s">
        <v>299</v>
      </c>
      <c r="D31" s="107" t="s">
        <v>313</v>
      </c>
      <c r="E31" s="107" t="s">
        <v>305</v>
      </c>
      <c r="F31" s="107" t="s">
        <v>221</v>
      </c>
      <c r="G31" s="108">
        <f>'Приложение 4'!F30</f>
        <v>66098861.92</v>
      </c>
      <c r="H31" s="108">
        <f>'Приложение 4'!G30</f>
        <v>56947557.52</v>
      </c>
      <c r="I31" s="108">
        <f>'Приложение 4'!H30</f>
        <v>56947557.52</v>
      </c>
    </row>
    <row r="32" spans="1:9" s="136" customFormat="1" ht="33.75">
      <c r="A32" s="48" t="s">
        <v>187</v>
      </c>
      <c r="B32" s="101">
        <v>701</v>
      </c>
      <c r="C32" s="107" t="s">
        <v>299</v>
      </c>
      <c r="D32" s="107" t="s">
        <v>313</v>
      </c>
      <c r="E32" s="107" t="s">
        <v>305</v>
      </c>
      <c r="F32" s="107" t="s">
        <v>244</v>
      </c>
      <c r="G32" s="108">
        <f>'Приложение 4'!F31</f>
        <v>4858464.64</v>
      </c>
      <c r="H32" s="108">
        <f>'Приложение 4'!G31</f>
        <v>6198730</v>
      </c>
      <c r="I32" s="108">
        <f>'Приложение 4'!H31</f>
        <v>6198730</v>
      </c>
    </row>
    <row r="33" spans="1:9" s="136" customFormat="1" ht="16.5">
      <c r="A33" s="48" t="s">
        <v>188</v>
      </c>
      <c r="B33" s="101">
        <v>701</v>
      </c>
      <c r="C33" s="107" t="s">
        <v>299</v>
      </c>
      <c r="D33" s="107" t="s">
        <v>313</v>
      </c>
      <c r="E33" s="107" t="s">
        <v>305</v>
      </c>
      <c r="F33" s="107" t="s">
        <v>249</v>
      </c>
      <c r="G33" s="108">
        <f>'Приложение 4'!F32</f>
        <v>0</v>
      </c>
      <c r="H33" s="108">
        <f>'Приложение 4'!G32</f>
        <v>0</v>
      </c>
      <c r="I33" s="108">
        <f>'Приложение 4'!H32</f>
        <v>0</v>
      </c>
    </row>
    <row r="34" spans="1:9" s="136" customFormat="1" ht="16.5">
      <c r="A34" s="48" t="s">
        <v>189</v>
      </c>
      <c r="B34" s="101">
        <v>701</v>
      </c>
      <c r="C34" s="107" t="s">
        <v>299</v>
      </c>
      <c r="D34" s="107" t="s">
        <v>313</v>
      </c>
      <c r="E34" s="107" t="s">
        <v>305</v>
      </c>
      <c r="F34" s="107" t="s">
        <v>223</v>
      </c>
      <c r="G34" s="108">
        <f>'Приложение 4'!F33</f>
        <v>153616</v>
      </c>
      <c r="H34" s="108">
        <f>'Приложение 4'!G33</f>
        <v>153616</v>
      </c>
      <c r="I34" s="108">
        <f>'Приложение 4'!H33</f>
        <v>153616</v>
      </c>
    </row>
    <row r="35" spans="1:9" ht="51">
      <c r="A35" s="70" t="s">
        <v>316</v>
      </c>
      <c r="B35" s="101">
        <v>701</v>
      </c>
      <c r="C35" s="105" t="s">
        <v>299</v>
      </c>
      <c r="D35" s="105" t="s">
        <v>317</v>
      </c>
      <c r="E35" s="105"/>
      <c r="F35" s="105"/>
      <c r="G35" s="106">
        <f aca="true" t="shared" si="3" ref="G35:I36">G36</f>
        <v>45975617.81</v>
      </c>
      <c r="H35" s="106">
        <f t="shared" si="3"/>
        <v>39410172.07</v>
      </c>
      <c r="I35" s="106">
        <f t="shared" si="3"/>
        <v>39410172.07</v>
      </c>
    </row>
    <row r="36" spans="1:9" ht="16.5">
      <c r="A36" s="70" t="s">
        <v>302</v>
      </c>
      <c r="B36" s="101">
        <v>701</v>
      </c>
      <c r="C36" s="105" t="s">
        <v>299</v>
      </c>
      <c r="D36" s="105" t="s">
        <v>317</v>
      </c>
      <c r="E36" s="105" t="s">
        <v>303</v>
      </c>
      <c r="F36" s="105"/>
      <c r="G36" s="106">
        <f t="shared" si="3"/>
        <v>45975617.81</v>
      </c>
      <c r="H36" s="106">
        <f t="shared" si="3"/>
        <v>39410172.07</v>
      </c>
      <c r="I36" s="106">
        <f t="shared" si="3"/>
        <v>39410172.07</v>
      </c>
    </row>
    <row r="37" spans="1:9" ht="33.75">
      <c r="A37" s="48" t="s">
        <v>304</v>
      </c>
      <c r="B37" s="101">
        <v>701</v>
      </c>
      <c r="C37" s="107" t="s">
        <v>299</v>
      </c>
      <c r="D37" s="107" t="s">
        <v>317</v>
      </c>
      <c r="E37" s="107" t="s">
        <v>305</v>
      </c>
      <c r="F37" s="107"/>
      <c r="G37" s="108">
        <f>SUM(G38:G40)</f>
        <v>45975617.81</v>
      </c>
      <c r="H37" s="108">
        <f>SUM(H38:H40)</f>
        <v>39410172.07</v>
      </c>
      <c r="I37" s="108">
        <f>SUM(I38:I40)</f>
        <v>39410172.07</v>
      </c>
    </row>
    <row r="38" spans="1:9" ht="67.5">
      <c r="A38" s="48" t="s">
        <v>186</v>
      </c>
      <c r="B38" s="101">
        <v>701</v>
      </c>
      <c r="C38" s="107" t="s">
        <v>299</v>
      </c>
      <c r="D38" s="107" t="s">
        <v>317</v>
      </c>
      <c r="E38" s="107" t="s">
        <v>305</v>
      </c>
      <c r="F38" s="107" t="s">
        <v>221</v>
      </c>
      <c r="G38" s="108">
        <f>'Приложение 4'!F37</f>
        <v>43104758.81</v>
      </c>
      <c r="H38" s="108">
        <f>'Приложение 4'!G37</f>
        <v>36089672.07</v>
      </c>
      <c r="I38" s="108">
        <f>'Приложение 4'!H37</f>
        <v>36089672.07</v>
      </c>
    </row>
    <row r="39" spans="1:9" ht="33.75">
      <c r="A39" s="48" t="s">
        <v>187</v>
      </c>
      <c r="B39" s="101">
        <v>701</v>
      </c>
      <c r="C39" s="107" t="s">
        <v>299</v>
      </c>
      <c r="D39" s="107" t="s">
        <v>317</v>
      </c>
      <c r="E39" s="107" t="s">
        <v>305</v>
      </c>
      <c r="F39" s="107" t="s">
        <v>244</v>
      </c>
      <c r="G39" s="108">
        <f>'Приложение 4'!F38</f>
        <v>2870859</v>
      </c>
      <c r="H39" s="108">
        <f>'Приложение 4'!G38</f>
        <v>3320500</v>
      </c>
      <c r="I39" s="108">
        <f>'Приложение 4'!H38</f>
        <v>3320500</v>
      </c>
    </row>
    <row r="40" spans="1:9" ht="16.5" hidden="1">
      <c r="A40" s="48" t="s">
        <v>188</v>
      </c>
      <c r="B40" s="101">
        <v>701</v>
      </c>
      <c r="C40" s="107" t="s">
        <v>299</v>
      </c>
      <c r="D40" s="107" t="s">
        <v>317</v>
      </c>
      <c r="E40" s="107" t="s">
        <v>305</v>
      </c>
      <c r="F40" s="107" t="s">
        <v>249</v>
      </c>
      <c r="G40" s="108">
        <f>'Приложение 4'!F39</f>
        <v>0</v>
      </c>
      <c r="H40" s="108">
        <f>'Приложение 4'!G39</f>
        <v>0</v>
      </c>
      <c r="I40" s="108">
        <f>'Приложение 4'!H39</f>
        <v>0</v>
      </c>
    </row>
    <row r="41" spans="1:9" s="37" customFormat="1" ht="16.5">
      <c r="A41" s="70" t="s">
        <v>392</v>
      </c>
      <c r="B41" s="101">
        <v>701</v>
      </c>
      <c r="C41" s="105" t="s">
        <v>299</v>
      </c>
      <c r="D41" s="105" t="s">
        <v>353</v>
      </c>
      <c r="E41" s="105"/>
      <c r="F41" s="105"/>
      <c r="G41" s="106">
        <f>G42</f>
        <v>6970452</v>
      </c>
      <c r="H41" s="106">
        <f aca="true" t="shared" si="4" ref="H41:I43">H42</f>
        <v>0</v>
      </c>
      <c r="I41" s="106">
        <f t="shared" si="4"/>
        <v>0</v>
      </c>
    </row>
    <row r="42" spans="1:9" s="37" customFormat="1" ht="16.5">
      <c r="A42" s="70" t="s">
        <v>302</v>
      </c>
      <c r="B42" s="101">
        <v>701</v>
      </c>
      <c r="C42" s="105" t="s">
        <v>299</v>
      </c>
      <c r="D42" s="105" t="s">
        <v>353</v>
      </c>
      <c r="E42" s="105" t="s">
        <v>303</v>
      </c>
      <c r="F42" s="105"/>
      <c r="G42" s="106">
        <f>G43</f>
        <v>6970452</v>
      </c>
      <c r="H42" s="106">
        <f t="shared" si="4"/>
        <v>0</v>
      </c>
      <c r="I42" s="106">
        <f t="shared" si="4"/>
        <v>0</v>
      </c>
    </row>
    <row r="43" spans="1:9" ht="16.5">
      <c r="A43" s="48" t="s">
        <v>391</v>
      </c>
      <c r="B43" s="101">
        <v>701</v>
      </c>
      <c r="C43" s="107" t="s">
        <v>299</v>
      </c>
      <c r="D43" s="107" t="s">
        <v>353</v>
      </c>
      <c r="E43" s="107" t="s">
        <v>390</v>
      </c>
      <c r="F43" s="107"/>
      <c r="G43" s="108">
        <f>G44</f>
        <v>6970452</v>
      </c>
      <c r="H43" s="108">
        <f>H44</f>
        <v>0</v>
      </c>
      <c r="I43" s="108">
        <f t="shared" si="4"/>
        <v>0</v>
      </c>
    </row>
    <row r="44" spans="1:9" ht="16.5">
      <c r="A44" s="48" t="s">
        <v>189</v>
      </c>
      <c r="B44" s="101">
        <v>701</v>
      </c>
      <c r="C44" s="107" t="s">
        <v>299</v>
      </c>
      <c r="D44" s="107" t="s">
        <v>353</v>
      </c>
      <c r="E44" s="107" t="s">
        <v>390</v>
      </c>
      <c r="F44" s="107" t="s">
        <v>223</v>
      </c>
      <c r="G44" s="108">
        <f>'Приложение 4'!F43</f>
        <v>6970452</v>
      </c>
      <c r="H44" s="108">
        <f>'Приложение 4'!G43</f>
        <v>0</v>
      </c>
      <c r="I44" s="108">
        <f>'Приложение 4'!H43</f>
        <v>0</v>
      </c>
    </row>
    <row r="45" spans="1:9" ht="16.5">
      <c r="A45" s="70" t="s">
        <v>320</v>
      </c>
      <c r="B45" s="101">
        <v>701</v>
      </c>
      <c r="C45" s="105" t="s">
        <v>299</v>
      </c>
      <c r="D45" s="105" t="s">
        <v>321</v>
      </c>
      <c r="E45" s="105"/>
      <c r="F45" s="105"/>
      <c r="G45" s="106">
        <f aca="true" t="shared" si="5" ref="G45:I47">G46</f>
        <v>20291093.749999993</v>
      </c>
      <c r="H45" s="106">
        <f t="shared" si="5"/>
        <v>30000000</v>
      </c>
      <c r="I45" s="106">
        <f t="shared" si="5"/>
        <v>30000000</v>
      </c>
    </row>
    <row r="46" spans="1:9" ht="16.5">
      <c r="A46" s="70" t="s">
        <v>302</v>
      </c>
      <c r="B46" s="101">
        <v>701</v>
      </c>
      <c r="C46" s="105" t="s">
        <v>299</v>
      </c>
      <c r="D46" s="105" t="s">
        <v>321</v>
      </c>
      <c r="E46" s="105" t="s">
        <v>303</v>
      </c>
      <c r="F46" s="105"/>
      <c r="G46" s="106">
        <f t="shared" si="5"/>
        <v>20291093.749999993</v>
      </c>
      <c r="H46" s="106">
        <f t="shared" si="5"/>
        <v>30000000</v>
      </c>
      <c r="I46" s="106">
        <f t="shared" si="5"/>
        <v>30000000</v>
      </c>
    </row>
    <row r="47" spans="1:9" ht="16.5">
      <c r="A47" s="48" t="s">
        <v>393</v>
      </c>
      <c r="B47" s="101">
        <v>701</v>
      </c>
      <c r="C47" s="107" t="s">
        <v>299</v>
      </c>
      <c r="D47" s="107" t="s">
        <v>321</v>
      </c>
      <c r="E47" s="107" t="s">
        <v>323</v>
      </c>
      <c r="F47" s="107"/>
      <c r="G47" s="108">
        <f t="shared" si="5"/>
        <v>20291093.749999993</v>
      </c>
      <c r="H47" s="108">
        <f t="shared" si="5"/>
        <v>30000000</v>
      </c>
      <c r="I47" s="108">
        <f t="shared" si="5"/>
        <v>30000000</v>
      </c>
    </row>
    <row r="48" spans="1:9" ht="16.5">
      <c r="A48" s="48" t="s">
        <v>189</v>
      </c>
      <c r="B48" s="101">
        <v>701</v>
      </c>
      <c r="C48" s="107" t="s">
        <v>299</v>
      </c>
      <c r="D48" s="107" t="s">
        <v>321</v>
      </c>
      <c r="E48" s="107" t="s">
        <v>323</v>
      </c>
      <c r="F48" s="107" t="s">
        <v>223</v>
      </c>
      <c r="G48" s="108">
        <f>'Приложение 4'!F47</f>
        <v>20291093.749999993</v>
      </c>
      <c r="H48" s="108">
        <f>'Приложение 4'!G47</f>
        <v>30000000</v>
      </c>
      <c r="I48" s="108">
        <f>'Приложение 4'!H47</f>
        <v>30000000</v>
      </c>
    </row>
    <row r="49" spans="1:9" s="37" customFormat="1" ht="16.5">
      <c r="A49" s="70" t="s">
        <v>326</v>
      </c>
      <c r="B49" s="101">
        <v>701</v>
      </c>
      <c r="C49" s="105" t="s">
        <v>299</v>
      </c>
      <c r="D49" s="105" t="s">
        <v>327</v>
      </c>
      <c r="E49" s="105"/>
      <c r="F49" s="105"/>
      <c r="G49" s="106">
        <f>G50+G53+G67</f>
        <v>641658220.61</v>
      </c>
      <c r="H49" s="106">
        <f>H50+H53+H67</f>
        <v>472482842.32</v>
      </c>
      <c r="I49" s="106">
        <f>I50+I53+I67</f>
        <v>472482842.32</v>
      </c>
    </row>
    <row r="50" spans="1:9" ht="33.75" customHeight="1">
      <c r="A50" s="70" t="s">
        <v>252</v>
      </c>
      <c r="B50" s="101">
        <v>701</v>
      </c>
      <c r="C50" s="105" t="s">
        <v>299</v>
      </c>
      <c r="D50" s="105" t="s">
        <v>327</v>
      </c>
      <c r="E50" s="105" t="s">
        <v>253</v>
      </c>
      <c r="F50" s="105"/>
      <c r="G50" s="106">
        <f aca="true" t="shared" si="6" ref="G50:I51">G51</f>
        <v>10018138.44</v>
      </c>
      <c r="H50" s="106">
        <f t="shared" si="6"/>
        <v>9735155</v>
      </c>
      <c r="I50" s="106">
        <f t="shared" si="6"/>
        <v>9735155</v>
      </c>
    </row>
    <row r="51" spans="1:9" ht="16.5">
      <c r="A51" s="48" t="s">
        <v>254</v>
      </c>
      <c r="B51" s="101">
        <v>701</v>
      </c>
      <c r="C51" s="107" t="s">
        <v>299</v>
      </c>
      <c r="D51" s="107" t="s">
        <v>327</v>
      </c>
      <c r="E51" s="107" t="s">
        <v>255</v>
      </c>
      <c r="F51" s="107"/>
      <c r="G51" s="108">
        <f t="shared" si="6"/>
        <v>10018138.44</v>
      </c>
      <c r="H51" s="108">
        <f t="shared" si="6"/>
        <v>9735155</v>
      </c>
      <c r="I51" s="108">
        <f t="shared" si="6"/>
        <v>9735155</v>
      </c>
    </row>
    <row r="52" spans="1:9" ht="33.75">
      <c r="A52" s="48" t="s">
        <v>187</v>
      </c>
      <c r="B52" s="101">
        <v>701</v>
      </c>
      <c r="C52" s="107" t="s">
        <v>299</v>
      </c>
      <c r="D52" s="107" t="s">
        <v>327</v>
      </c>
      <c r="E52" s="107" t="s">
        <v>255</v>
      </c>
      <c r="F52" s="107" t="s">
        <v>244</v>
      </c>
      <c r="G52" s="108">
        <f>'Приложение 4'!F51</f>
        <v>10018138.44</v>
      </c>
      <c r="H52" s="108">
        <f>'Приложение 4'!G51</f>
        <v>9735155</v>
      </c>
      <c r="I52" s="108">
        <f>'Приложение 4'!H51</f>
        <v>9735155</v>
      </c>
    </row>
    <row r="53" spans="1:9" ht="33.75">
      <c r="A53" s="70" t="s">
        <v>259</v>
      </c>
      <c r="B53" s="101">
        <v>701</v>
      </c>
      <c r="C53" s="105" t="s">
        <v>299</v>
      </c>
      <c r="D53" s="105" t="s">
        <v>327</v>
      </c>
      <c r="E53" s="105" t="s">
        <v>260</v>
      </c>
      <c r="F53" s="105"/>
      <c r="G53" s="106">
        <f>G54+G59+G63</f>
        <v>79644558.19999999</v>
      </c>
      <c r="H53" s="106">
        <f>H54+H59+H63</f>
        <v>49068592.46</v>
      </c>
      <c r="I53" s="106">
        <f>I54+I59+I63</f>
        <v>49068592.46</v>
      </c>
    </row>
    <row r="54" spans="1:14" ht="16.5">
      <c r="A54" s="48" t="s">
        <v>184</v>
      </c>
      <c r="B54" s="101">
        <v>701</v>
      </c>
      <c r="C54" s="107" t="s">
        <v>299</v>
      </c>
      <c r="D54" s="107" t="s">
        <v>327</v>
      </c>
      <c r="E54" s="107" t="s">
        <v>261</v>
      </c>
      <c r="F54" s="107"/>
      <c r="G54" s="108">
        <f>SUM(G55:G58)</f>
        <v>34739127.62</v>
      </c>
      <c r="H54" s="108">
        <f>SUM(H55:H58)</f>
        <v>33419089.29</v>
      </c>
      <c r="I54" s="108">
        <f>SUM(I55:I58)</f>
        <v>33419089.29</v>
      </c>
      <c r="N54" s="27"/>
    </row>
    <row r="55" spans="1:9" ht="67.5">
      <c r="A55" s="48" t="s">
        <v>186</v>
      </c>
      <c r="B55" s="101">
        <v>701</v>
      </c>
      <c r="C55" s="107" t="s">
        <v>299</v>
      </c>
      <c r="D55" s="107" t="s">
        <v>327</v>
      </c>
      <c r="E55" s="107" t="s">
        <v>261</v>
      </c>
      <c r="F55" s="107" t="s">
        <v>221</v>
      </c>
      <c r="G55" s="108">
        <f>'Приложение 4'!F54</f>
        <v>32450934.11</v>
      </c>
      <c r="H55" s="108">
        <f>'Приложение 4'!G54</f>
        <v>30799509</v>
      </c>
      <c r="I55" s="108">
        <f>'Приложение 4'!H54</f>
        <v>30799509</v>
      </c>
    </row>
    <row r="56" spans="1:9" ht="33.75">
      <c r="A56" s="48" t="s">
        <v>187</v>
      </c>
      <c r="B56" s="101">
        <v>701</v>
      </c>
      <c r="C56" s="107" t="s">
        <v>299</v>
      </c>
      <c r="D56" s="107" t="s">
        <v>327</v>
      </c>
      <c r="E56" s="107" t="s">
        <v>261</v>
      </c>
      <c r="F56" s="107" t="s">
        <v>244</v>
      </c>
      <c r="G56" s="108">
        <f>'Приложение 4'!F55</f>
        <v>2259852.83</v>
      </c>
      <c r="H56" s="108">
        <f>'Приложение 4'!G55</f>
        <v>2614580.29</v>
      </c>
      <c r="I56" s="108">
        <f>'Приложение 4'!H55</f>
        <v>2614580.29</v>
      </c>
    </row>
    <row r="57" spans="1:9" ht="16.5">
      <c r="A57" s="48" t="s">
        <v>188</v>
      </c>
      <c r="B57" s="101">
        <v>702</v>
      </c>
      <c r="C57" s="107" t="s">
        <v>299</v>
      </c>
      <c r="D57" s="107" t="s">
        <v>327</v>
      </c>
      <c r="E57" s="107" t="s">
        <v>261</v>
      </c>
      <c r="F57" s="107" t="s">
        <v>249</v>
      </c>
      <c r="G57" s="108">
        <f>'Приложение 4'!F56</f>
        <v>23340.68</v>
      </c>
      <c r="H57" s="108">
        <f>'Приложение 4'!G56</f>
        <v>0</v>
      </c>
      <c r="I57" s="108">
        <f>'Приложение 4'!H56</f>
        <v>0</v>
      </c>
    </row>
    <row r="58" spans="1:9" s="138" customFormat="1" ht="16.5">
      <c r="A58" s="48" t="s">
        <v>189</v>
      </c>
      <c r="B58" s="101">
        <v>701</v>
      </c>
      <c r="C58" s="107" t="s">
        <v>299</v>
      </c>
      <c r="D58" s="107" t="s">
        <v>327</v>
      </c>
      <c r="E58" s="107" t="s">
        <v>261</v>
      </c>
      <c r="F58" s="107" t="s">
        <v>223</v>
      </c>
      <c r="G58" s="108">
        <f>'Приложение 4'!F57</f>
        <v>5000</v>
      </c>
      <c r="H58" s="108">
        <f>'Приложение 4'!G57</f>
        <v>5000</v>
      </c>
      <c r="I58" s="108">
        <f>'Приложение 4'!H57</f>
        <v>5000</v>
      </c>
    </row>
    <row r="59" spans="1:9" s="138" customFormat="1" ht="16.5">
      <c r="A59" s="139" t="s">
        <v>262</v>
      </c>
      <c r="B59" s="101">
        <v>701</v>
      </c>
      <c r="C59" s="105" t="s">
        <v>299</v>
      </c>
      <c r="D59" s="105" t="s">
        <v>327</v>
      </c>
      <c r="E59" s="105" t="s">
        <v>263</v>
      </c>
      <c r="F59" s="105"/>
      <c r="G59" s="106">
        <f>G60+G61+G62</f>
        <v>35851491.58</v>
      </c>
      <c r="H59" s="106">
        <f>H60+H61+H62</f>
        <v>12005877.25</v>
      </c>
      <c r="I59" s="106">
        <f>I60+I61+I62</f>
        <v>12005877.25</v>
      </c>
    </row>
    <row r="60" spans="1:9" s="138" customFormat="1" ht="31.5" customHeight="1">
      <c r="A60" s="48" t="s">
        <v>187</v>
      </c>
      <c r="B60" s="101">
        <v>701</v>
      </c>
      <c r="C60" s="107" t="s">
        <v>299</v>
      </c>
      <c r="D60" s="107" t="s">
        <v>327</v>
      </c>
      <c r="E60" s="107" t="s">
        <v>263</v>
      </c>
      <c r="F60" s="107" t="s">
        <v>244</v>
      </c>
      <c r="G60" s="108">
        <f>'Приложение 4'!F59</f>
        <v>15515922.57</v>
      </c>
      <c r="H60" s="108">
        <f>'Приложение 4'!G59</f>
        <v>11995877.25</v>
      </c>
      <c r="I60" s="108">
        <f>'Приложение 4'!H59</f>
        <v>11995877.25</v>
      </c>
    </row>
    <row r="61" spans="1:9" s="138" customFormat="1" ht="33.75">
      <c r="A61" s="48" t="s">
        <v>264</v>
      </c>
      <c r="B61" s="101">
        <v>701</v>
      </c>
      <c r="C61" s="107" t="s">
        <v>299</v>
      </c>
      <c r="D61" s="107" t="s">
        <v>327</v>
      </c>
      <c r="E61" s="107" t="s">
        <v>263</v>
      </c>
      <c r="F61" s="107" t="s">
        <v>258</v>
      </c>
      <c r="G61" s="108">
        <f>'Приложение 4'!F60</f>
        <v>16325569.01</v>
      </c>
      <c r="H61" s="108">
        <f>'Приложение 4'!G60</f>
        <v>0</v>
      </c>
      <c r="I61" s="108">
        <f>'Приложение 4'!H60</f>
        <v>0</v>
      </c>
    </row>
    <row r="62" spans="1:9" s="138" customFormat="1" ht="16.5">
      <c r="A62" s="48" t="s">
        <v>189</v>
      </c>
      <c r="B62" s="101">
        <v>701</v>
      </c>
      <c r="C62" s="107" t="s">
        <v>299</v>
      </c>
      <c r="D62" s="107" t="s">
        <v>327</v>
      </c>
      <c r="E62" s="107" t="s">
        <v>263</v>
      </c>
      <c r="F62" s="107" t="s">
        <v>223</v>
      </c>
      <c r="G62" s="108">
        <f>'Приложение 4'!F61</f>
        <v>4010000</v>
      </c>
      <c r="H62" s="108">
        <f>'Приложение 4'!G61</f>
        <v>10000</v>
      </c>
      <c r="I62" s="108">
        <f>'Приложение 4'!H61</f>
        <v>10000</v>
      </c>
    </row>
    <row r="63" spans="1:9" s="138" customFormat="1" ht="16.5">
      <c r="A63" s="65" t="s">
        <v>265</v>
      </c>
      <c r="B63" s="101">
        <v>701</v>
      </c>
      <c r="C63" s="105" t="s">
        <v>299</v>
      </c>
      <c r="D63" s="105" t="s">
        <v>327</v>
      </c>
      <c r="E63" s="105" t="s">
        <v>266</v>
      </c>
      <c r="F63" s="105"/>
      <c r="G63" s="106">
        <f>G64+G65+G66</f>
        <v>9053939</v>
      </c>
      <c r="H63" s="106">
        <f>H64+H65+H66</f>
        <v>3643625.92</v>
      </c>
      <c r="I63" s="106">
        <f>I64+I65+I66</f>
        <v>3643625.92</v>
      </c>
    </row>
    <row r="64" spans="1:9" ht="63.75" customHeight="1">
      <c r="A64" s="48" t="s">
        <v>187</v>
      </c>
      <c r="B64" s="101">
        <v>701</v>
      </c>
      <c r="C64" s="107" t="s">
        <v>299</v>
      </c>
      <c r="D64" s="107" t="s">
        <v>327</v>
      </c>
      <c r="E64" s="107" t="s">
        <v>266</v>
      </c>
      <c r="F64" s="107" t="s">
        <v>244</v>
      </c>
      <c r="G64" s="108">
        <f>'Приложение 4'!F63</f>
        <v>9053939</v>
      </c>
      <c r="H64" s="108">
        <f>'Приложение 4'!G63</f>
        <v>3643625.92</v>
      </c>
      <c r="I64" s="108">
        <f>'Приложение 4'!H63</f>
        <v>3643625.92</v>
      </c>
    </row>
    <row r="65" spans="1:9" ht="33.75">
      <c r="A65" s="48" t="s">
        <v>264</v>
      </c>
      <c r="B65" s="101">
        <v>701</v>
      </c>
      <c r="C65" s="107" t="s">
        <v>299</v>
      </c>
      <c r="D65" s="107" t="s">
        <v>327</v>
      </c>
      <c r="E65" s="107" t="s">
        <v>266</v>
      </c>
      <c r="F65" s="107" t="s">
        <v>258</v>
      </c>
      <c r="G65" s="108">
        <f>'Приложение 4'!F64</f>
        <v>0</v>
      </c>
      <c r="H65" s="108">
        <f>'Приложение 4'!G64</f>
        <v>0</v>
      </c>
      <c r="I65" s="108">
        <f>'Приложение 4'!H64</f>
        <v>0</v>
      </c>
    </row>
    <row r="66" spans="1:9" ht="16.5">
      <c r="A66" s="48" t="s">
        <v>189</v>
      </c>
      <c r="B66" s="101">
        <v>701</v>
      </c>
      <c r="C66" s="107" t="s">
        <v>299</v>
      </c>
      <c r="D66" s="107" t="s">
        <v>327</v>
      </c>
      <c r="E66" s="107" t="s">
        <v>266</v>
      </c>
      <c r="F66" s="107" t="s">
        <v>223</v>
      </c>
      <c r="G66" s="108">
        <f>'Приложение 4'!F65</f>
        <v>0</v>
      </c>
      <c r="H66" s="108">
        <f>'Приложение 4'!G65</f>
        <v>0</v>
      </c>
      <c r="I66" s="108">
        <f>'Приложение 4'!H65</f>
        <v>0</v>
      </c>
    </row>
    <row r="67" spans="1:9" ht="16.5">
      <c r="A67" s="70" t="s">
        <v>302</v>
      </c>
      <c r="B67" s="101">
        <v>701</v>
      </c>
      <c r="C67" s="105" t="s">
        <v>299</v>
      </c>
      <c r="D67" s="105" t="s">
        <v>327</v>
      </c>
      <c r="E67" s="101">
        <v>9900000000</v>
      </c>
      <c r="F67" s="105"/>
      <c r="G67" s="106">
        <f>G68+G74</f>
        <v>551995523.97</v>
      </c>
      <c r="H67" s="106">
        <f>H68+H74</f>
        <v>413679094.86</v>
      </c>
      <c r="I67" s="106">
        <f>I68+I74</f>
        <v>413679094.86</v>
      </c>
    </row>
    <row r="68" spans="1:9" ht="33.75">
      <c r="A68" s="48" t="s">
        <v>304</v>
      </c>
      <c r="B68" s="101">
        <v>701</v>
      </c>
      <c r="C68" s="107" t="s">
        <v>299</v>
      </c>
      <c r="D68" s="107" t="s">
        <v>327</v>
      </c>
      <c r="E68" s="98">
        <v>9910000000</v>
      </c>
      <c r="F68" s="107"/>
      <c r="G68" s="108">
        <f>SUM(G69:G73)</f>
        <v>446950562.29</v>
      </c>
      <c r="H68" s="108">
        <f>SUM(H69:H73)</f>
        <v>408093714.86</v>
      </c>
      <c r="I68" s="108">
        <f>SUM(I69:I73)</f>
        <v>408093714.86</v>
      </c>
    </row>
    <row r="69" spans="1:9" ht="67.5">
      <c r="A69" s="48" t="s">
        <v>186</v>
      </c>
      <c r="B69" s="101">
        <v>701</v>
      </c>
      <c r="C69" s="107" t="s">
        <v>299</v>
      </c>
      <c r="D69" s="107" t="s">
        <v>327</v>
      </c>
      <c r="E69" s="98">
        <v>9910000000</v>
      </c>
      <c r="F69" s="107" t="s">
        <v>221</v>
      </c>
      <c r="G69" s="108">
        <f>'Приложение 4'!F68</f>
        <v>138264673.6</v>
      </c>
      <c r="H69" s="108">
        <f>'Приложение 4'!G68</f>
        <v>131394775.41999999</v>
      </c>
      <c r="I69" s="108">
        <f>'Приложение 4'!H68</f>
        <v>131394775.41999999</v>
      </c>
    </row>
    <row r="70" spans="1:9" ht="33.75">
      <c r="A70" s="48" t="s">
        <v>187</v>
      </c>
      <c r="B70" s="101">
        <v>701</v>
      </c>
      <c r="C70" s="107" t="s">
        <v>299</v>
      </c>
      <c r="D70" s="107" t="s">
        <v>327</v>
      </c>
      <c r="E70" s="98">
        <v>9910000000</v>
      </c>
      <c r="F70" s="107" t="s">
        <v>244</v>
      </c>
      <c r="G70" s="108">
        <f>'Приложение 4'!F69</f>
        <v>16840793.62</v>
      </c>
      <c r="H70" s="108">
        <f>'Приложение 4'!G69</f>
        <v>18789326.62</v>
      </c>
      <c r="I70" s="108">
        <f>'Приложение 4'!H69</f>
        <v>18789326.62</v>
      </c>
    </row>
    <row r="71" spans="1:9" ht="16.5">
      <c r="A71" s="48" t="s">
        <v>188</v>
      </c>
      <c r="B71" s="101">
        <v>701</v>
      </c>
      <c r="C71" s="107" t="s">
        <v>299</v>
      </c>
      <c r="D71" s="107" t="s">
        <v>327</v>
      </c>
      <c r="E71" s="98">
        <v>9910000000</v>
      </c>
      <c r="F71" s="107" t="s">
        <v>249</v>
      </c>
      <c r="G71" s="108">
        <f>'Приложение 4'!F70</f>
        <v>3450.84</v>
      </c>
      <c r="H71" s="108">
        <f>'Приложение 4'!G70</f>
        <v>0</v>
      </c>
      <c r="I71" s="108">
        <f>'Приложение 4'!H70</f>
        <v>0</v>
      </c>
    </row>
    <row r="72" spans="1:9" ht="33.75">
      <c r="A72" s="46" t="s">
        <v>196</v>
      </c>
      <c r="B72" s="101">
        <v>701</v>
      </c>
      <c r="C72" s="107" t="s">
        <v>299</v>
      </c>
      <c r="D72" s="107" t="s">
        <v>327</v>
      </c>
      <c r="E72" s="98">
        <v>9910000000</v>
      </c>
      <c r="F72" s="107" t="s">
        <v>329</v>
      </c>
      <c r="G72" s="108">
        <f>'Приложение 4'!F71</f>
        <v>290760354.23</v>
      </c>
      <c r="H72" s="108">
        <f>'Приложение 4'!G71</f>
        <v>256831322.82</v>
      </c>
      <c r="I72" s="108">
        <f>'Приложение 4'!H71</f>
        <v>256831322.82</v>
      </c>
    </row>
    <row r="73" spans="1:9" ht="16.5">
      <c r="A73" s="48" t="s">
        <v>189</v>
      </c>
      <c r="B73" s="101">
        <v>701</v>
      </c>
      <c r="C73" s="107" t="s">
        <v>299</v>
      </c>
      <c r="D73" s="107" t="s">
        <v>327</v>
      </c>
      <c r="E73" s="98">
        <v>9910000000</v>
      </c>
      <c r="F73" s="107" t="s">
        <v>223</v>
      </c>
      <c r="G73" s="108">
        <f>'Приложение 4'!F72</f>
        <v>1081290</v>
      </c>
      <c r="H73" s="108">
        <f>'Приложение 4'!G72</f>
        <v>1078290</v>
      </c>
      <c r="I73" s="108">
        <f>'Приложение 4'!H72</f>
        <v>1078290</v>
      </c>
    </row>
    <row r="74" spans="1:9" s="138" customFormat="1" ht="16.5">
      <c r="A74" s="48" t="s">
        <v>322</v>
      </c>
      <c r="B74" s="101">
        <v>701</v>
      </c>
      <c r="C74" s="107" t="s">
        <v>299</v>
      </c>
      <c r="D74" s="107" t="s">
        <v>327</v>
      </c>
      <c r="E74" s="107" t="s">
        <v>323</v>
      </c>
      <c r="F74" s="107"/>
      <c r="G74" s="108">
        <f>SUM(G75:G78)</f>
        <v>105044961.68</v>
      </c>
      <c r="H74" s="108">
        <f>SUM(H75:H78)</f>
        <v>5585380</v>
      </c>
      <c r="I74" s="108">
        <f>SUM(I75:I78)</f>
        <v>5585380</v>
      </c>
    </row>
    <row r="75" spans="1:9" s="136" customFormat="1" ht="33.75">
      <c r="A75" s="48" t="s">
        <v>187</v>
      </c>
      <c r="B75" s="101">
        <v>701</v>
      </c>
      <c r="C75" s="107" t="s">
        <v>299</v>
      </c>
      <c r="D75" s="107" t="s">
        <v>327</v>
      </c>
      <c r="E75" s="107" t="s">
        <v>323</v>
      </c>
      <c r="F75" s="107" t="s">
        <v>244</v>
      </c>
      <c r="G75" s="108">
        <f>'Приложение 4'!F74</f>
        <v>58627257.17</v>
      </c>
      <c r="H75" s="108">
        <f>'Приложение 4'!G74</f>
        <v>5355500</v>
      </c>
      <c r="I75" s="108">
        <f>'Приложение 4'!H74</f>
        <v>5355500</v>
      </c>
    </row>
    <row r="76" spans="1:9" s="138" customFormat="1" ht="16.5">
      <c r="A76" s="48" t="s">
        <v>188</v>
      </c>
      <c r="B76" s="101">
        <v>701</v>
      </c>
      <c r="C76" s="107" t="s">
        <v>299</v>
      </c>
      <c r="D76" s="107" t="s">
        <v>327</v>
      </c>
      <c r="E76" s="107" t="s">
        <v>323</v>
      </c>
      <c r="F76" s="107" t="s">
        <v>249</v>
      </c>
      <c r="G76" s="108">
        <f>'Приложение 4'!F75</f>
        <v>3265744.5</v>
      </c>
      <c r="H76" s="108">
        <f>'Приложение 4'!G75</f>
        <v>229880</v>
      </c>
      <c r="I76" s="108">
        <f>'Приложение 4'!H75</f>
        <v>229880</v>
      </c>
    </row>
    <row r="77" spans="1:9" s="138" customFormat="1" ht="33.75">
      <c r="A77" s="46" t="s">
        <v>196</v>
      </c>
      <c r="B77" s="101">
        <v>701</v>
      </c>
      <c r="C77" s="107" t="s">
        <v>299</v>
      </c>
      <c r="D77" s="107" t="s">
        <v>327</v>
      </c>
      <c r="E77" s="107" t="s">
        <v>323</v>
      </c>
      <c r="F77" s="107" t="s">
        <v>329</v>
      </c>
      <c r="G77" s="108">
        <f>'Приложение 4'!F76</f>
        <v>14418402.719999999</v>
      </c>
      <c r="H77" s="108">
        <f>'Приложение 4'!G76</f>
        <v>0</v>
      </c>
      <c r="I77" s="108">
        <f>'Приложение 4'!H76</f>
        <v>0</v>
      </c>
    </row>
    <row r="78" spans="1:9" s="138" customFormat="1" ht="16.5">
      <c r="A78" s="48" t="s">
        <v>189</v>
      </c>
      <c r="B78" s="101">
        <v>701</v>
      </c>
      <c r="C78" s="107" t="s">
        <v>299</v>
      </c>
      <c r="D78" s="107" t="s">
        <v>327</v>
      </c>
      <c r="E78" s="107" t="s">
        <v>323</v>
      </c>
      <c r="F78" s="107" t="s">
        <v>223</v>
      </c>
      <c r="G78" s="108">
        <f>'Приложение 4'!F77</f>
        <v>28733557.29</v>
      </c>
      <c r="H78" s="108">
        <f>'Приложение 4'!G77</f>
        <v>0</v>
      </c>
      <c r="I78" s="108">
        <f>'Приложение 4'!H77</f>
        <v>0</v>
      </c>
    </row>
    <row r="79" spans="1:9" s="140" customFormat="1" ht="33.75">
      <c r="A79" s="70" t="s">
        <v>334</v>
      </c>
      <c r="B79" s="101">
        <v>701</v>
      </c>
      <c r="C79" s="105" t="s">
        <v>309</v>
      </c>
      <c r="D79" s="105"/>
      <c r="E79" s="105"/>
      <c r="F79" s="105"/>
      <c r="G79" s="106">
        <f aca="true" t="shared" si="7" ref="G79:I80">G80</f>
        <v>15019222.91</v>
      </c>
      <c r="H79" s="106">
        <f t="shared" si="7"/>
        <v>14655349</v>
      </c>
      <c r="I79" s="106">
        <f t="shared" si="7"/>
        <v>14655349</v>
      </c>
    </row>
    <row r="80" spans="1:9" s="140" customFormat="1" ht="67.5">
      <c r="A80" s="70" t="s">
        <v>335</v>
      </c>
      <c r="B80" s="101">
        <v>701</v>
      </c>
      <c r="C80" s="105" t="s">
        <v>309</v>
      </c>
      <c r="D80" s="105" t="s">
        <v>336</v>
      </c>
      <c r="E80" s="105"/>
      <c r="F80" s="105"/>
      <c r="G80" s="106">
        <f t="shared" si="7"/>
        <v>15019222.91</v>
      </c>
      <c r="H80" s="106">
        <f t="shared" si="7"/>
        <v>14655349</v>
      </c>
      <c r="I80" s="106">
        <f t="shared" si="7"/>
        <v>14655349</v>
      </c>
    </row>
    <row r="81" spans="1:9" s="138" customFormat="1" ht="16.5">
      <c r="A81" s="66" t="s">
        <v>302</v>
      </c>
      <c r="B81" s="101">
        <v>701</v>
      </c>
      <c r="C81" s="105" t="s">
        <v>309</v>
      </c>
      <c r="D81" s="105" t="s">
        <v>336</v>
      </c>
      <c r="E81" s="101">
        <v>9900000000</v>
      </c>
      <c r="F81" s="101"/>
      <c r="G81" s="106">
        <f>G82+G86</f>
        <v>15019222.91</v>
      </c>
      <c r="H81" s="106">
        <f>H82+H86</f>
        <v>14655349</v>
      </c>
      <c r="I81" s="106">
        <f>I82+I86</f>
        <v>14655349</v>
      </c>
    </row>
    <row r="82" spans="1:9" s="138" customFormat="1" ht="33.75">
      <c r="A82" s="48" t="s">
        <v>304</v>
      </c>
      <c r="B82" s="101">
        <v>701</v>
      </c>
      <c r="C82" s="107" t="s">
        <v>309</v>
      </c>
      <c r="D82" s="107" t="s">
        <v>336</v>
      </c>
      <c r="E82" s="98">
        <v>9910000000</v>
      </c>
      <c r="F82" s="98"/>
      <c r="G82" s="108">
        <f>SUM(G83:G85)</f>
        <v>14019222.91</v>
      </c>
      <c r="H82" s="108">
        <f>SUM(H83:H85)</f>
        <v>13155349</v>
      </c>
      <c r="I82" s="108">
        <f>SUM(I83:I85)</f>
        <v>13155349</v>
      </c>
    </row>
    <row r="83" spans="1:9" s="138" customFormat="1" ht="67.5">
      <c r="A83" s="48" t="s">
        <v>186</v>
      </c>
      <c r="B83" s="101">
        <v>701</v>
      </c>
      <c r="C83" s="107" t="s">
        <v>309</v>
      </c>
      <c r="D83" s="107" t="s">
        <v>336</v>
      </c>
      <c r="E83" s="98">
        <v>9910000000</v>
      </c>
      <c r="F83" s="107" t="s">
        <v>221</v>
      </c>
      <c r="G83" s="108">
        <f>'Приложение 4'!F82</f>
        <v>10643176.91</v>
      </c>
      <c r="H83" s="108">
        <f>'Приложение 4'!G82</f>
        <v>9415554</v>
      </c>
      <c r="I83" s="108">
        <f>'Приложение 4'!H82</f>
        <v>9415554</v>
      </c>
    </row>
    <row r="84" spans="1:9" s="138" customFormat="1" ht="33.75">
      <c r="A84" s="48" t="s">
        <v>187</v>
      </c>
      <c r="B84" s="101">
        <v>701</v>
      </c>
      <c r="C84" s="107" t="s">
        <v>309</v>
      </c>
      <c r="D84" s="107" t="s">
        <v>336</v>
      </c>
      <c r="E84" s="98">
        <v>9910000000</v>
      </c>
      <c r="F84" s="107" t="s">
        <v>244</v>
      </c>
      <c r="G84" s="108">
        <f>'Приложение 4'!F83</f>
        <v>3374966</v>
      </c>
      <c r="H84" s="108">
        <f>'Приложение 4'!G83</f>
        <v>3738715</v>
      </c>
      <c r="I84" s="108">
        <f>'Приложение 4'!H83</f>
        <v>3738715</v>
      </c>
    </row>
    <row r="85" spans="1:9" s="138" customFormat="1" ht="16.5">
      <c r="A85" s="48" t="s">
        <v>189</v>
      </c>
      <c r="B85" s="101">
        <v>701</v>
      </c>
      <c r="C85" s="107" t="s">
        <v>309</v>
      </c>
      <c r="D85" s="107" t="s">
        <v>336</v>
      </c>
      <c r="E85" s="98">
        <v>9910000000</v>
      </c>
      <c r="F85" s="98">
        <v>800</v>
      </c>
      <c r="G85" s="108">
        <f>'Приложение 4'!F84</f>
        <v>1080</v>
      </c>
      <c r="H85" s="108">
        <f>'Приложение 4'!G84</f>
        <v>1080</v>
      </c>
      <c r="I85" s="108">
        <f>'Приложение 4'!H84</f>
        <v>1080</v>
      </c>
    </row>
    <row r="86" spans="1:9" s="138" customFormat="1" ht="16.5">
      <c r="A86" s="48" t="s">
        <v>322</v>
      </c>
      <c r="B86" s="101">
        <v>701</v>
      </c>
      <c r="C86" s="107" t="s">
        <v>309</v>
      </c>
      <c r="D86" s="107" t="s">
        <v>336</v>
      </c>
      <c r="E86" s="98">
        <v>9950000000</v>
      </c>
      <c r="F86" s="98"/>
      <c r="G86" s="108">
        <f>G87</f>
        <v>1000000</v>
      </c>
      <c r="H86" s="108">
        <f>H87</f>
        <v>1500000</v>
      </c>
      <c r="I86" s="108">
        <f>I87</f>
        <v>1500000</v>
      </c>
    </row>
    <row r="87" spans="1:9" s="138" customFormat="1" ht="33.75">
      <c r="A87" s="48" t="s">
        <v>187</v>
      </c>
      <c r="B87" s="101">
        <v>701</v>
      </c>
      <c r="C87" s="107" t="s">
        <v>309</v>
      </c>
      <c r="D87" s="107" t="s">
        <v>336</v>
      </c>
      <c r="E87" s="98">
        <v>9950000000</v>
      </c>
      <c r="F87" s="98">
        <v>200</v>
      </c>
      <c r="G87" s="108">
        <f>'Приложение 4'!F86</f>
        <v>1000000</v>
      </c>
      <c r="H87" s="108">
        <f>'Приложение 4'!G86</f>
        <v>1500000</v>
      </c>
      <c r="I87" s="108">
        <f>'Приложение 4'!H86</f>
        <v>1500000</v>
      </c>
    </row>
    <row r="88" spans="1:9" s="140" customFormat="1" ht="16.5">
      <c r="A88" s="70" t="s">
        <v>339</v>
      </c>
      <c r="B88" s="101">
        <v>701</v>
      </c>
      <c r="C88" s="105" t="s">
        <v>313</v>
      </c>
      <c r="D88" s="105"/>
      <c r="E88" s="105"/>
      <c r="F88" s="105"/>
      <c r="G88" s="106">
        <f>G89+G93+G106+G113+G121+G117</f>
        <v>292879660.90999997</v>
      </c>
      <c r="H88" s="106">
        <f>H89+H93+H106+H113+H121</f>
        <v>104772258.22</v>
      </c>
      <c r="I88" s="106">
        <f>I89+I93+I106+I113+I121</f>
        <v>105663739.58</v>
      </c>
    </row>
    <row r="89" spans="1:9" s="140" customFormat="1" ht="16.5">
      <c r="A89" s="70" t="s">
        <v>340</v>
      </c>
      <c r="B89" s="101">
        <v>701</v>
      </c>
      <c r="C89" s="105" t="s">
        <v>313</v>
      </c>
      <c r="D89" s="105" t="s">
        <v>299</v>
      </c>
      <c r="E89" s="105"/>
      <c r="F89" s="105"/>
      <c r="G89" s="106">
        <f aca="true" t="shared" si="8" ref="G89:I91">G90</f>
        <v>305784.54999999993</v>
      </c>
      <c r="H89" s="106">
        <f t="shared" si="8"/>
        <v>847554.33</v>
      </c>
      <c r="I89" s="106">
        <f t="shared" si="8"/>
        <v>847554.33</v>
      </c>
    </row>
    <row r="90" spans="1:9" s="140" customFormat="1" ht="16.5">
      <c r="A90" s="70" t="s">
        <v>302</v>
      </c>
      <c r="B90" s="101">
        <v>701</v>
      </c>
      <c r="C90" s="105" t="s">
        <v>313</v>
      </c>
      <c r="D90" s="105" t="s">
        <v>299</v>
      </c>
      <c r="E90" s="105">
        <v>9900000000</v>
      </c>
      <c r="F90" s="105"/>
      <c r="G90" s="106">
        <f t="shared" si="8"/>
        <v>305784.54999999993</v>
      </c>
      <c r="H90" s="106">
        <f t="shared" si="8"/>
        <v>847554.33</v>
      </c>
      <c r="I90" s="106">
        <f t="shared" si="8"/>
        <v>847554.33</v>
      </c>
    </row>
    <row r="91" spans="1:9" s="140" customFormat="1" ht="33.75">
      <c r="A91" s="48" t="s">
        <v>304</v>
      </c>
      <c r="B91" s="101">
        <v>701</v>
      </c>
      <c r="C91" s="107" t="s">
        <v>313</v>
      </c>
      <c r="D91" s="107" t="s">
        <v>299</v>
      </c>
      <c r="E91" s="107" t="s">
        <v>305</v>
      </c>
      <c r="F91" s="107"/>
      <c r="G91" s="108">
        <f t="shared" si="8"/>
        <v>305784.54999999993</v>
      </c>
      <c r="H91" s="108">
        <f t="shared" si="8"/>
        <v>847554.33</v>
      </c>
      <c r="I91" s="108">
        <f t="shared" si="8"/>
        <v>847554.33</v>
      </c>
    </row>
    <row r="92" spans="1:9" s="140" customFormat="1" ht="67.5">
      <c r="A92" s="48" t="s">
        <v>186</v>
      </c>
      <c r="B92" s="101">
        <v>701</v>
      </c>
      <c r="C92" s="107" t="s">
        <v>313</v>
      </c>
      <c r="D92" s="107" t="s">
        <v>299</v>
      </c>
      <c r="E92" s="107" t="s">
        <v>305</v>
      </c>
      <c r="F92" s="107" t="s">
        <v>221</v>
      </c>
      <c r="G92" s="108">
        <f>'Приложение 4'!F91</f>
        <v>305784.54999999993</v>
      </c>
      <c r="H92" s="108">
        <f>'Приложение 4'!G91</f>
        <v>847554.33</v>
      </c>
      <c r="I92" s="108">
        <f>'Приложение 4'!H91</f>
        <v>847554.33</v>
      </c>
    </row>
    <row r="93" spans="1:9" s="140" customFormat="1" ht="16.5">
      <c r="A93" s="70" t="s">
        <v>341</v>
      </c>
      <c r="B93" s="101">
        <v>701</v>
      </c>
      <c r="C93" s="105" t="s">
        <v>313</v>
      </c>
      <c r="D93" s="105" t="s">
        <v>342</v>
      </c>
      <c r="E93" s="105"/>
      <c r="F93" s="105"/>
      <c r="G93" s="106">
        <f>G94+G100</f>
        <v>123028447.82999998</v>
      </c>
      <c r="H93" s="106">
        <f>H94+H100</f>
        <v>66602509.39</v>
      </c>
      <c r="I93" s="106">
        <f>I94+I100</f>
        <v>67493990.75</v>
      </c>
    </row>
    <row r="94" spans="1:9" s="140" customFormat="1" ht="67.5">
      <c r="A94" s="70" t="s">
        <v>217</v>
      </c>
      <c r="B94" s="101">
        <v>701</v>
      </c>
      <c r="C94" s="105" t="s">
        <v>313</v>
      </c>
      <c r="D94" s="105" t="s">
        <v>342</v>
      </c>
      <c r="E94" s="105" t="s">
        <v>218</v>
      </c>
      <c r="F94" s="105"/>
      <c r="G94" s="106">
        <f>G95+G98</f>
        <v>99205561.61999999</v>
      </c>
      <c r="H94" s="106">
        <f>H95+H98</f>
        <v>61634121.07</v>
      </c>
      <c r="I94" s="106">
        <f>I95+I98</f>
        <v>62525602.43</v>
      </c>
    </row>
    <row r="95" spans="1:9" s="140" customFormat="1" ht="16.5">
      <c r="A95" s="48" t="s">
        <v>219</v>
      </c>
      <c r="B95" s="101">
        <v>701</v>
      </c>
      <c r="C95" s="107" t="s">
        <v>313</v>
      </c>
      <c r="D95" s="107" t="s">
        <v>342</v>
      </c>
      <c r="E95" s="107" t="s">
        <v>220</v>
      </c>
      <c r="F95" s="107"/>
      <c r="G95" s="108">
        <f>G96+G97</f>
        <v>1907618.8499999999</v>
      </c>
      <c r="H95" s="108">
        <f>H96+H97</f>
        <v>2491566.61</v>
      </c>
      <c r="I95" s="108">
        <f>I96+I97</f>
        <v>2491566.61</v>
      </c>
    </row>
    <row r="96" spans="1:9" s="140" customFormat="1" ht="67.5">
      <c r="A96" s="48" t="s">
        <v>186</v>
      </c>
      <c r="B96" s="101">
        <v>701</v>
      </c>
      <c r="C96" s="107" t="s">
        <v>313</v>
      </c>
      <c r="D96" s="107" t="s">
        <v>342</v>
      </c>
      <c r="E96" s="107" t="s">
        <v>220</v>
      </c>
      <c r="F96" s="107" t="s">
        <v>221</v>
      </c>
      <c r="G96" s="108">
        <f>'Приложение 4'!F95</f>
        <v>711398.6599999999</v>
      </c>
      <c r="H96" s="108">
        <f>'Приложение 4'!G95</f>
        <v>1295346.42</v>
      </c>
      <c r="I96" s="108">
        <f>'Приложение 4'!H95</f>
        <v>1295346.42</v>
      </c>
    </row>
    <row r="97" spans="1:9" s="140" customFormat="1" ht="33.75">
      <c r="A97" s="46" t="s">
        <v>187</v>
      </c>
      <c r="B97" s="101">
        <v>701</v>
      </c>
      <c r="C97" s="107" t="s">
        <v>313</v>
      </c>
      <c r="D97" s="107" t="s">
        <v>342</v>
      </c>
      <c r="E97" s="107" t="s">
        <v>220</v>
      </c>
      <c r="F97" s="125">
        <v>200</v>
      </c>
      <c r="G97" s="108">
        <f>'Приложение 4'!F96</f>
        <v>1196220.19</v>
      </c>
      <c r="H97" s="108">
        <f>'Приложение 4'!G96</f>
        <v>1196220.19</v>
      </c>
      <c r="I97" s="108">
        <f>'Приложение 4'!H96</f>
        <v>1196220.19</v>
      </c>
    </row>
    <row r="98" spans="1:9" s="140" customFormat="1" ht="33.75">
      <c r="A98" s="46" t="s">
        <v>292</v>
      </c>
      <c r="B98" s="101">
        <v>701</v>
      </c>
      <c r="C98" s="107" t="s">
        <v>313</v>
      </c>
      <c r="D98" s="107" t="s">
        <v>342</v>
      </c>
      <c r="E98" s="107" t="s">
        <v>291</v>
      </c>
      <c r="F98" s="125"/>
      <c r="G98" s="108">
        <f>G99</f>
        <v>97297942.77</v>
      </c>
      <c r="H98" s="108">
        <f>H99</f>
        <v>59142554.46</v>
      </c>
      <c r="I98" s="108">
        <f>I99</f>
        <v>60034035.82</v>
      </c>
    </row>
    <row r="99" spans="1:9" s="140" customFormat="1" ht="16.5">
      <c r="A99" s="46" t="s">
        <v>189</v>
      </c>
      <c r="B99" s="101">
        <v>701</v>
      </c>
      <c r="C99" s="107" t="s">
        <v>313</v>
      </c>
      <c r="D99" s="107" t="s">
        <v>342</v>
      </c>
      <c r="E99" s="107" t="s">
        <v>291</v>
      </c>
      <c r="F99" s="125">
        <v>800</v>
      </c>
      <c r="G99" s="108">
        <f>'Приложение 4'!F98</f>
        <v>97297942.77</v>
      </c>
      <c r="H99" s="108">
        <f>'Приложение 4'!G98</f>
        <v>59142554.46</v>
      </c>
      <c r="I99" s="108">
        <f>'Приложение 4'!H98</f>
        <v>60034035.82</v>
      </c>
    </row>
    <row r="100" spans="1:9" s="140" customFormat="1" ht="16.5">
      <c r="A100" s="66" t="s">
        <v>302</v>
      </c>
      <c r="B100" s="101">
        <v>701</v>
      </c>
      <c r="C100" s="105" t="s">
        <v>313</v>
      </c>
      <c r="D100" s="105" t="s">
        <v>342</v>
      </c>
      <c r="E100" s="105">
        <v>9900000000</v>
      </c>
      <c r="F100" s="98"/>
      <c r="G100" s="108">
        <f>G101+G103</f>
        <v>23822886.21</v>
      </c>
      <c r="H100" s="108">
        <f>H101+H103</f>
        <v>4968388.32</v>
      </c>
      <c r="I100" s="108">
        <f>I101+I103</f>
        <v>4968388.32</v>
      </c>
    </row>
    <row r="101" spans="1:9" s="140" customFormat="1" ht="33.75">
      <c r="A101" s="48" t="s">
        <v>304</v>
      </c>
      <c r="B101" s="101">
        <v>701</v>
      </c>
      <c r="C101" s="107" t="s">
        <v>313</v>
      </c>
      <c r="D101" s="107" t="s">
        <v>342</v>
      </c>
      <c r="E101" s="107">
        <v>9910000000</v>
      </c>
      <c r="F101" s="98"/>
      <c r="G101" s="108">
        <f>G102</f>
        <v>5343610.99</v>
      </c>
      <c r="H101" s="108">
        <f>H102</f>
        <v>4968388.32</v>
      </c>
      <c r="I101" s="108">
        <f>I102</f>
        <v>4968388.32</v>
      </c>
    </row>
    <row r="102" spans="1:9" s="140" customFormat="1" ht="67.5">
      <c r="A102" s="46" t="s">
        <v>186</v>
      </c>
      <c r="B102" s="101">
        <v>701</v>
      </c>
      <c r="C102" s="107" t="s">
        <v>313</v>
      </c>
      <c r="D102" s="107" t="s">
        <v>342</v>
      </c>
      <c r="E102" s="107">
        <v>9910000000</v>
      </c>
      <c r="F102" s="98" t="s">
        <v>221</v>
      </c>
      <c r="G102" s="108">
        <f>'Приложение 4'!F101</f>
        <v>5343610.99</v>
      </c>
      <c r="H102" s="108">
        <f>'Приложение 4'!G101</f>
        <v>4968388.32</v>
      </c>
      <c r="I102" s="108">
        <f>'Приложение 4'!H101</f>
        <v>4968388.32</v>
      </c>
    </row>
    <row r="103" spans="1:9" s="140" customFormat="1" ht="16.5">
      <c r="A103" s="48" t="s">
        <v>322</v>
      </c>
      <c r="B103" s="101">
        <v>701</v>
      </c>
      <c r="C103" s="107" t="s">
        <v>313</v>
      </c>
      <c r="D103" s="107" t="s">
        <v>342</v>
      </c>
      <c r="E103" s="112" t="s">
        <v>323</v>
      </c>
      <c r="F103" s="98"/>
      <c r="G103" s="108">
        <f>G105+G104</f>
        <v>18479275.22</v>
      </c>
      <c r="H103" s="108">
        <f>H105+H104</f>
        <v>0</v>
      </c>
      <c r="I103" s="108">
        <f>I105+I104</f>
        <v>0</v>
      </c>
    </row>
    <row r="104" spans="1:9" s="140" customFormat="1" ht="16.5">
      <c r="A104" s="48" t="s">
        <v>188</v>
      </c>
      <c r="B104" s="101">
        <v>701</v>
      </c>
      <c r="C104" s="107" t="s">
        <v>313</v>
      </c>
      <c r="D104" s="107" t="s">
        <v>342</v>
      </c>
      <c r="E104" s="112" t="s">
        <v>323</v>
      </c>
      <c r="F104" s="98">
        <v>300</v>
      </c>
      <c r="G104" s="108">
        <f>'Приложение 4'!F103</f>
        <v>460000</v>
      </c>
      <c r="H104" s="108">
        <f>'Приложение 4'!G103</f>
        <v>0</v>
      </c>
      <c r="I104" s="108">
        <f>'Приложение 4'!H103</f>
        <v>0</v>
      </c>
    </row>
    <row r="105" spans="1:9" s="140" customFormat="1" ht="16.5">
      <c r="A105" s="46" t="s">
        <v>189</v>
      </c>
      <c r="B105" s="101">
        <v>701</v>
      </c>
      <c r="C105" s="107" t="s">
        <v>313</v>
      </c>
      <c r="D105" s="107" t="s">
        <v>342</v>
      </c>
      <c r="E105" s="112" t="s">
        <v>323</v>
      </c>
      <c r="F105" s="98">
        <v>800</v>
      </c>
      <c r="G105" s="108">
        <f>'Приложение 4'!F104</f>
        <v>18019275.22</v>
      </c>
      <c r="H105" s="108">
        <f>'Приложение 4'!G104</f>
        <v>0</v>
      </c>
      <c r="I105" s="108">
        <f>'Приложение 4'!H104</f>
        <v>0</v>
      </c>
    </row>
    <row r="106" spans="1:9" s="140" customFormat="1" ht="16.5">
      <c r="A106" s="66" t="s">
        <v>394</v>
      </c>
      <c r="B106" s="101">
        <v>701</v>
      </c>
      <c r="C106" s="105" t="s">
        <v>313</v>
      </c>
      <c r="D106" s="105" t="s">
        <v>360</v>
      </c>
      <c r="E106" s="101"/>
      <c r="F106" s="101"/>
      <c r="G106" s="106">
        <f>G107</f>
        <v>19720000</v>
      </c>
      <c r="H106" s="106">
        <f>H107</f>
        <v>17150000</v>
      </c>
      <c r="I106" s="106">
        <f>I107</f>
        <v>17150000</v>
      </c>
    </row>
    <row r="107" spans="1:9" s="140" customFormat="1" ht="33.75">
      <c r="A107" s="66" t="s">
        <v>225</v>
      </c>
      <c r="B107" s="101">
        <v>701</v>
      </c>
      <c r="C107" s="105" t="s">
        <v>313</v>
      </c>
      <c r="D107" s="105" t="s">
        <v>360</v>
      </c>
      <c r="E107" s="141" t="s">
        <v>226</v>
      </c>
      <c r="F107" s="101"/>
      <c r="G107" s="106">
        <f>G108+G110</f>
        <v>19720000</v>
      </c>
      <c r="H107" s="106">
        <f>H108+H110</f>
        <v>17150000</v>
      </c>
      <c r="I107" s="106">
        <f>I108+I110</f>
        <v>17150000</v>
      </c>
    </row>
    <row r="108" spans="1:9" s="140" customFormat="1" ht="16.5">
      <c r="A108" s="46" t="s">
        <v>227</v>
      </c>
      <c r="B108" s="101">
        <v>701</v>
      </c>
      <c r="C108" s="107" t="s">
        <v>313</v>
      </c>
      <c r="D108" s="107" t="s">
        <v>360</v>
      </c>
      <c r="E108" s="142" t="s">
        <v>228</v>
      </c>
      <c r="F108" s="98"/>
      <c r="G108" s="108">
        <f>G109</f>
        <v>2000000</v>
      </c>
      <c r="H108" s="108">
        <f>H109</f>
        <v>4000000</v>
      </c>
      <c r="I108" s="108">
        <f>I109</f>
        <v>4000000</v>
      </c>
    </row>
    <row r="109" spans="1:9" s="140" customFormat="1" ht="33.75">
      <c r="A109" s="48" t="s">
        <v>187</v>
      </c>
      <c r="B109" s="101">
        <v>701</v>
      </c>
      <c r="C109" s="107" t="s">
        <v>313</v>
      </c>
      <c r="D109" s="107" t="s">
        <v>360</v>
      </c>
      <c r="E109" s="142" t="s">
        <v>228</v>
      </c>
      <c r="F109" s="98">
        <v>800</v>
      </c>
      <c r="G109" s="108">
        <f>'Приложение 4'!F108</f>
        <v>2000000</v>
      </c>
      <c r="H109" s="108">
        <f>'Приложение 4'!G108</f>
        <v>4000000</v>
      </c>
      <c r="I109" s="108">
        <f>'Приложение 4'!H108</f>
        <v>4000000</v>
      </c>
    </row>
    <row r="110" spans="1:9" s="140" customFormat="1" ht="16.5">
      <c r="A110" s="46" t="s">
        <v>229</v>
      </c>
      <c r="B110" s="101">
        <v>701</v>
      </c>
      <c r="C110" s="107" t="s">
        <v>313</v>
      </c>
      <c r="D110" s="107" t="s">
        <v>360</v>
      </c>
      <c r="E110" s="142" t="s">
        <v>230</v>
      </c>
      <c r="F110" s="98"/>
      <c r="G110" s="108">
        <f>G111+G112</f>
        <v>17720000</v>
      </c>
      <c r="H110" s="108">
        <f>H111+H112</f>
        <v>13150000</v>
      </c>
      <c r="I110" s="108">
        <f>I111+I112</f>
        <v>13150000</v>
      </c>
    </row>
    <row r="111" spans="1:9" s="140" customFormat="1" ht="33.75">
      <c r="A111" s="48" t="s">
        <v>187</v>
      </c>
      <c r="B111" s="101">
        <v>701</v>
      </c>
      <c r="C111" s="107" t="s">
        <v>313</v>
      </c>
      <c r="D111" s="107" t="s">
        <v>360</v>
      </c>
      <c r="E111" s="142" t="s">
        <v>230</v>
      </c>
      <c r="F111" s="98">
        <v>200</v>
      </c>
      <c r="G111" s="108">
        <f>'Приложение 4'!F110</f>
        <v>0</v>
      </c>
      <c r="H111" s="108">
        <f>'Приложение 4'!G110</f>
        <v>150000</v>
      </c>
      <c r="I111" s="108">
        <f>'Приложение 4'!H110</f>
        <v>150000</v>
      </c>
    </row>
    <row r="112" spans="1:9" s="140" customFormat="1" ht="16.5">
      <c r="A112" s="46" t="s">
        <v>189</v>
      </c>
      <c r="B112" s="101">
        <v>701</v>
      </c>
      <c r="C112" s="107" t="s">
        <v>313</v>
      </c>
      <c r="D112" s="107" t="s">
        <v>360</v>
      </c>
      <c r="E112" s="142" t="s">
        <v>230</v>
      </c>
      <c r="F112" s="98">
        <v>800</v>
      </c>
      <c r="G112" s="108">
        <f>'Приложение 4'!F111</f>
        <v>17720000</v>
      </c>
      <c r="H112" s="108">
        <f>'Приложение 4'!G111</f>
        <v>13000000</v>
      </c>
      <c r="I112" s="108">
        <f>'Приложение 4'!H111</f>
        <v>13000000</v>
      </c>
    </row>
    <row r="113" spans="1:9" s="140" customFormat="1" ht="16.5">
      <c r="A113" s="66" t="s">
        <v>395</v>
      </c>
      <c r="B113" s="101">
        <v>701</v>
      </c>
      <c r="C113" s="105" t="s">
        <v>313</v>
      </c>
      <c r="D113" s="105" t="s">
        <v>358</v>
      </c>
      <c r="E113" s="101"/>
      <c r="F113" s="101"/>
      <c r="G113" s="106">
        <f aca="true" t="shared" si="9" ref="G113:I115">G114</f>
        <v>131192428.52999999</v>
      </c>
      <c r="H113" s="106">
        <f t="shared" si="9"/>
        <v>15455434.5</v>
      </c>
      <c r="I113" s="106">
        <f t="shared" si="9"/>
        <v>15455434.5</v>
      </c>
    </row>
    <row r="114" spans="1:9" s="140" customFormat="1" ht="33.75">
      <c r="A114" s="66" t="s">
        <v>225</v>
      </c>
      <c r="B114" s="101">
        <v>701</v>
      </c>
      <c r="C114" s="105" t="s">
        <v>313</v>
      </c>
      <c r="D114" s="105" t="s">
        <v>358</v>
      </c>
      <c r="E114" s="141" t="s">
        <v>226</v>
      </c>
      <c r="F114" s="101"/>
      <c r="G114" s="106">
        <f t="shared" si="9"/>
        <v>131192428.52999999</v>
      </c>
      <c r="H114" s="106">
        <f t="shared" si="9"/>
        <v>15455434.5</v>
      </c>
      <c r="I114" s="106">
        <f t="shared" si="9"/>
        <v>15455434.5</v>
      </c>
    </row>
    <row r="115" spans="1:9" s="138" customFormat="1" ht="16.5">
      <c r="A115" s="46" t="s">
        <v>231</v>
      </c>
      <c r="B115" s="101">
        <v>701</v>
      </c>
      <c r="C115" s="107" t="s">
        <v>313</v>
      </c>
      <c r="D115" s="107" t="s">
        <v>358</v>
      </c>
      <c r="E115" s="142" t="s">
        <v>232</v>
      </c>
      <c r="F115" s="98"/>
      <c r="G115" s="108">
        <f t="shared" si="9"/>
        <v>131192428.52999999</v>
      </c>
      <c r="H115" s="108">
        <f t="shared" si="9"/>
        <v>15455434.5</v>
      </c>
      <c r="I115" s="108">
        <f t="shared" si="9"/>
        <v>15455434.5</v>
      </c>
    </row>
    <row r="116" spans="1:9" s="140" customFormat="1" ht="33.75">
      <c r="A116" s="48" t="s">
        <v>187</v>
      </c>
      <c r="B116" s="101">
        <v>701</v>
      </c>
      <c r="C116" s="107" t="s">
        <v>313</v>
      </c>
      <c r="D116" s="107" t="s">
        <v>358</v>
      </c>
      <c r="E116" s="142" t="s">
        <v>232</v>
      </c>
      <c r="F116" s="98">
        <v>200</v>
      </c>
      <c r="G116" s="108">
        <f>'Приложение 4'!F115</f>
        <v>131192428.52999999</v>
      </c>
      <c r="H116" s="108">
        <f>'Приложение 4'!G115</f>
        <v>15455434.5</v>
      </c>
      <c r="I116" s="108">
        <f>'Приложение 4'!H115</f>
        <v>15455434.5</v>
      </c>
    </row>
    <row r="117" spans="1:9" s="140" customFormat="1" ht="16.5">
      <c r="A117" s="70" t="s">
        <v>344</v>
      </c>
      <c r="B117" s="101">
        <v>701</v>
      </c>
      <c r="C117" s="105" t="s">
        <v>313</v>
      </c>
      <c r="D117" s="105" t="s">
        <v>336</v>
      </c>
      <c r="E117" s="113"/>
      <c r="F117" s="101"/>
      <c r="G117" s="106">
        <f>G118</f>
        <v>14000000</v>
      </c>
      <c r="H117" s="106">
        <f aca="true" t="shared" si="10" ref="H117:I119">H118</f>
        <v>0</v>
      </c>
      <c r="I117" s="106">
        <f t="shared" si="10"/>
        <v>0</v>
      </c>
    </row>
    <row r="118" spans="1:9" s="140" customFormat="1" ht="16.5">
      <c r="A118" s="70" t="s">
        <v>302</v>
      </c>
      <c r="B118" s="101">
        <v>701</v>
      </c>
      <c r="C118" s="105" t="s">
        <v>313</v>
      </c>
      <c r="D118" s="105" t="s">
        <v>336</v>
      </c>
      <c r="E118" s="113" t="s">
        <v>303</v>
      </c>
      <c r="F118" s="101"/>
      <c r="G118" s="106">
        <f>G119</f>
        <v>14000000</v>
      </c>
      <c r="H118" s="106">
        <f t="shared" si="10"/>
        <v>0</v>
      </c>
      <c r="I118" s="106">
        <f t="shared" si="10"/>
        <v>0</v>
      </c>
    </row>
    <row r="119" spans="1:9" s="140" customFormat="1" ht="16.5">
      <c r="A119" s="70" t="s">
        <v>322</v>
      </c>
      <c r="B119" s="101">
        <v>701</v>
      </c>
      <c r="C119" s="107" t="s">
        <v>313</v>
      </c>
      <c r="D119" s="107" t="s">
        <v>336</v>
      </c>
      <c r="E119" s="112" t="s">
        <v>323</v>
      </c>
      <c r="F119" s="98"/>
      <c r="G119" s="108">
        <f>G120</f>
        <v>14000000</v>
      </c>
      <c r="H119" s="108">
        <f t="shared" si="10"/>
        <v>0</v>
      </c>
      <c r="I119" s="108">
        <f t="shared" si="10"/>
        <v>0</v>
      </c>
    </row>
    <row r="120" spans="1:9" s="140" customFormat="1" ht="33.75">
      <c r="A120" s="48" t="s">
        <v>187</v>
      </c>
      <c r="B120" s="101">
        <v>701</v>
      </c>
      <c r="C120" s="107" t="s">
        <v>313</v>
      </c>
      <c r="D120" s="107" t="s">
        <v>336</v>
      </c>
      <c r="E120" s="112" t="s">
        <v>323</v>
      </c>
      <c r="F120" s="98">
        <v>200</v>
      </c>
      <c r="G120" s="108">
        <f>'Приложение 4'!F119</f>
        <v>14000000</v>
      </c>
      <c r="H120" s="108">
        <f>'Приложение 4'!G119</f>
        <v>0</v>
      </c>
      <c r="I120" s="108">
        <f>'Приложение 4'!H119</f>
        <v>0</v>
      </c>
    </row>
    <row r="121" spans="1:9" s="140" customFormat="1" ht="16.5">
      <c r="A121" s="66" t="s">
        <v>396</v>
      </c>
      <c r="B121" s="101">
        <v>701</v>
      </c>
      <c r="C121" s="105" t="s">
        <v>313</v>
      </c>
      <c r="D121" s="105" t="s">
        <v>397</v>
      </c>
      <c r="E121" s="101"/>
      <c r="F121" s="101"/>
      <c r="G121" s="106">
        <f aca="true" t="shared" si="11" ref="G121:I122">G122</f>
        <v>4633000</v>
      </c>
      <c r="H121" s="106">
        <f t="shared" si="11"/>
        <v>4716760</v>
      </c>
      <c r="I121" s="106">
        <f t="shared" si="11"/>
        <v>4716760</v>
      </c>
    </row>
    <row r="122" spans="1:11" s="138" customFormat="1" ht="16.5">
      <c r="A122" s="66" t="s">
        <v>213</v>
      </c>
      <c r="B122" s="101">
        <v>701</v>
      </c>
      <c r="C122" s="105" t="s">
        <v>313</v>
      </c>
      <c r="D122" s="105" t="s">
        <v>397</v>
      </c>
      <c r="E122" s="141" t="s">
        <v>214</v>
      </c>
      <c r="F122" s="101"/>
      <c r="G122" s="106">
        <f t="shared" si="11"/>
        <v>4633000</v>
      </c>
      <c r="H122" s="106">
        <f t="shared" si="11"/>
        <v>4716760</v>
      </c>
      <c r="I122" s="106">
        <f t="shared" si="11"/>
        <v>4716760</v>
      </c>
      <c r="J122" s="140"/>
      <c r="K122" s="140"/>
    </row>
    <row r="123" spans="1:11" s="138" customFormat="1" ht="16.5">
      <c r="A123" s="46" t="s">
        <v>398</v>
      </c>
      <c r="B123" s="101">
        <v>701</v>
      </c>
      <c r="C123" s="107" t="s">
        <v>313</v>
      </c>
      <c r="D123" s="107" t="s">
        <v>397</v>
      </c>
      <c r="E123" s="142" t="s">
        <v>216</v>
      </c>
      <c r="F123" s="98"/>
      <c r="G123" s="108">
        <f>G124+G125+G126</f>
        <v>4633000</v>
      </c>
      <c r="H123" s="108">
        <f>H124+H125+H126</f>
        <v>4716760</v>
      </c>
      <c r="I123" s="108">
        <f>I124+I125+I126</f>
        <v>4716760</v>
      </c>
      <c r="J123" s="140"/>
      <c r="K123" s="140"/>
    </row>
    <row r="124" spans="1:11" s="138" customFormat="1" ht="33.75">
      <c r="A124" s="46" t="s">
        <v>187</v>
      </c>
      <c r="B124" s="101">
        <v>701</v>
      </c>
      <c r="C124" s="107" t="s">
        <v>313</v>
      </c>
      <c r="D124" s="107" t="s">
        <v>397</v>
      </c>
      <c r="E124" s="142" t="s">
        <v>216</v>
      </c>
      <c r="F124" s="98">
        <v>200</v>
      </c>
      <c r="G124" s="108">
        <v>0</v>
      </c>
      <c r="H124" s="108">
        <v>0</v>
      </c>
      <c r="I124" s="108">
        <v>0</v>
      </c>
      <c r="J124" s="140"/>
      <c r="K124" s="140"/>
    </row>
    <row r="125" spans="1:11" s="138" customFormat="1" ht="16.5">
      <c r="A125" s="48" t="s">
        <v>188</v>
      </c>
      <c r="B125" s="101">
        <v>701</v>
      </c>
      <c r="C125" s="107" t="s">
        <v>313</v>
      </c>
      <c r="D125" s="107" t="s">
        <v>397</v>
      </c>
      <c r="E125" s="142" t="s">
        <v>216</v>
      </c>
      <c r="F125" s="98">
        <v>300</v>
      </c>
      <c r="G125" s="108">
        <f>'Приложение 4'!F124</f>
        <v>333000</v>
      </c>
      <c r="H125" s="108">
        <f>'Приложение 4'!G124</f>
        <v>416760</v>
      </c>
      <c r="I125" s="108">
        <f>'Приложение 4'!H124</f>
        <v>416760</v>
      </c>
      <c r="J125" s="140"/>
      <c r="K125" s="140"/>
    </row>
    <row r="126" spans="1:11" s="138" customFormat="1" ht="16.5">
      <c r="A126" s="46" t="s">
        <v>189</v>
      </c>
      <c r="B126" s="101">
        <v>701</v>
      </c>
      <c r="C126" s="107" t="s">
        <v>313</v>
      </c>
      <c r="D126" s="107" t="s">
        <v>397</v>
      </c>
      <c r="E126" s="142" t="s">
        <v>216</v>
      </c>
      <c r="F126" s="98">
        <v>800</v>
      </c>
      <c r="G126" s="108">
        <f>'Приложение 4'!F125</f>
        <v>4300000</v>
      </c>
      <c r="H126" s="108">
        <f>'Приложение 4'!G125</f>
        <v>4300000</v>
      </c>
      <c r="I126" s="108">
        <f>'Приложение 4'!H125</f>
        <v>4300000</v>
      </c>
      <c r="J126" s="140"/>
      <c r="K126" s="140"/>
    </row>
    <row r="127" spans="1:11" s="138" customFormat="1" ht="16.5" hidden="1">
      <c r="A127" s="70" t="s">
        <v>345</v>
      </c>
      <c r="B127" s="101">
        <v>701</v>
      </c>
      <c r="C127" s="105" t="s">
        <v>342</v>
      </c>
      <c r="D127" s="105"/>
      <c r="E127" s="141"/>
      <c r="F127" s="101"/>
      <c r="G127" s="106">
        <f>G133+G128</f>
        <v>9810436.8</v>
      </c>
      <c r="H127" s="106">
        <f>H133+H128</f>
        <v>0</v>
      </c>
      <c r="I127" s="106">
        <f>I133+I128</f>
        <v>0</v>
      </c>
      <c r="J127" s="140"/>
      <c r="K127" s="140"/>
    </row>
    <row r="128" spans="1:11" s="138" customFormat="1" ht="16.5" hidden="1">
      <c r="A128" s="70" t="s">
        <v>346</v>
      </c>
      <c r="B128" s="101">
        <v>701</v>
      </c>
      <c r="C128" s="105" t="s">
        <v>342</v>
      </c>
      <c r="D128" s="105" t="s">
        <v>299</v>
      </c>
      <c r="E128" s="113"/>
      <c r="F128" s="101"/>
      <c r="G128" s="106">
        <f aca="true" t="shared" si="12" ref="G128:I129">G129</f>
        <v>0</v>
      </c>
      <c r="H128" s="106">
        <f t="shared" si="12"/>
        <v>0</v>
      </c>
      <c r="I128" s="106">
        <f t="shared" si="12"/>
        <v>0</v>
      </c>
      <c r="J128" s="140"/>
      <c r="K128" s="140"/>
    </row>
    <row r="129" spans="1:11" s="138" customFormat="1" ht="16.5" hidden="1">
      <c r="A129" s="70" t="s">
        <v>302</v>
      </c>
      <c r="B129" s="101">
        <v>701</v>
      </c>
      <c r="C129" s="105" t="s">
        <v>342</v>
      </c>
      <c r="D129" s="105" t="s">
        <v>299</v>
      </c>
      <c r="E129" s="113" t="s">
        <v>303</v>
      </c>
      <c r="F129" s="101"/>
      <c r="G129" s="106">
        <f t="shared" si="12"/>
        <v>0</v>
      </c>
      <c r="H129" s="106">
        <f t="shared" si="12"/>
        <v>0</v>
      </c>
      <c r="I129" s="106">
        <f t="shared" si="12"/>
        <v>0</v>
      </c>
      <c r="J129" s="140"/>
      <c r="K129" s="140"/>
    </row>
    <row r="130" spans="1:11" s="138" customFormat="1" ht="16.5" hidden="1">
      <c r="A130" s="48" t="s">
        <v>322</v>
      </c>
      <c r="B130" s="101">
        <v>701</v>
      </c>
      <c r="C130" s="107" t="s">
        <v>342</v>
      </c>
      <c r="D130" s="107" t="s">
        <v>299</v>
      </c>
      <c r="E130" s="112" t="s">
        <v>323</v>
      </c>
      <c r="F130" s="98"/>
      <c r="G130" s="108">
        <f>G131+G132</f>
        <v>0</v>
      </c>
      <c r="H130" s="108">
        <f>H131+H132</f>
        <v>0</v>
      </c>
      <c r="I130" s="108">
        <f>I131+I132</f>
        <v>0</v>
      </c>
      <c r="J130" s="140"/>
      <c r="K130" s="140"/>
    </row>
    <row r="131" spans="1:11" s="138" customFormat="1" ht="33.75" hidden="1">
      <c r="A131" s="46" t="s">
        <v>187</v>
      </c>
      <c r="B131" s="101">
        <v>701</v>
      </c>
      <c r="C131" s="107" t="s">
        <v>342</v>
      </c>
      <c r="D131" s="107" t="s">
        <v>299</v>
      </c>
      <c r="E131" s="112" t="s">
        <v>323</v>
      </c>
      <c r="F131" s="98">
        <v>200</v>
      </c>
      <c r="G131" s="108">
        <f>'[1]Приложение 3'!F127</f>
        <v>0</v>
      </c>
      <c r="H131" s="108">
        <f>'[1]Приложение 3'!G127</f>
        <v>0</v>
      </c>
      <c r="I131" s="108">
        <f>'[1]Приложение 3'!H127</f>
        <v>0</v>
      </c>
      <c r="J131" s="140"/>
      <c r="K131" s="140"/>
    </row>
    <row r="132" spans="1:11" s="138" customFormat="1" ht="33.75" hidden="1">
      <c r="A132" s="46" t="s">
        <v>196</v>
      </c>
      <c r="B132" s="101">
        <v>701</v>
      </c>
      <c r="C132" s="107" t="s">
        <v>342</v>
      </c>
      <c r="D132" s="107" t="s">
        <v>299</v>
      </c>
      <c r="E132" s="112" t="s">
        <v>323</v>
      </c>
      <c r="F132" s="98">
        <v>600</v>
      </c>
      <c r="G132" s="108">
        <v>0</v>
      </c>
      <c r="H132" s="108">
        <v>0</v>
      </c>
      <c r="I132" s="108">
        <v>0</v>
      </c>
      <c r="J132" s="140"/>
      <c r="K132" s="140"/>
    </row>
    <row r="133" spans="1:11" s="138" customFormat="1" ht="16.5">
      <c r="A133" s="70" t="s">
        <v>349</v>
      </c>
      <c r="B133" s="101">
        <v>701</v>
      </c>
      <c r="C133" s="105" t="s">
        <v>342</v>
      </c>
      <c r="D133" s="105" t="s">
        <v>309</v>
      </c>
      <c r="E133" s="141"/>
      <c r="F133" s="101"/>
      <c r="G133" s="106">
        <f>G134</f>
        <v>9810436.8</v>
      </c>
      <c r="H133" s="106">
        <f aca="true" t="shared" si="13" ref="H133:I135">H134</f>
        <v>0</v>
      </c>
      <c r="I133" s="106">
        <f t="shared" si="13"/>
        <v>0</v>
      </c>
      <c r="J133" s="140"/>
      <c r="K133" s="140"/>
    </row>
    <row r="134" spans="1:11" s="138" customFormat="1" ht="16.5">
      <c r="A134" s="70" t="s">
        <v>302</v>
      </c>
      <c r="B134" s="101">
        <v>701</v>
      </c>
      <c r="C134" s="105" t="s">
        <v>342</v>
      </c>
      <c r="D134" s="105" t="s">
        <v>309</v>
      </c>
      <c r="E134" s="141" t="s">
        <v>303</v>
      </c>
      <c r="F134" s="101"/>
      <c r="G134" s="106">
        <f>G135</f>
        <v>9810436.8</v>
      </c>
      <c r="H134" s="106">
        <f t="shared" si="13"/>
        <v>0</v>
      </c>
      <c r="I134" s="106">
        <f t="shared" si="13"/>
        <v>0</v>
      </c>
      <c r="J134" s="140"/>
      <c r="K134" s="140"/>
    </row>
    <row r="135" spans="1:11" s="138" customFormat="1" ht="16.5">
      <c r="A135" s="48" t="s">
        <v>322</v>
      </c>
      <c r="B135" s="101">
        <v>701</v>
      </c>
      <c r="C135" s="107" t="s">
        <v>342</v>
      </c>
      <c r="D135" s="107" t="s">
        <v>309</v>
      </c>
      <c r="E135" s="142" t="s">
        <v>323</v>
      </c>
      <c r="F135" s="98"/>
      <c r="G135" s="108">
        <f>G136</f>
        <v>9810436.8</v>
      </c>
      <c r="H135" s="108">
        <f t="shared" si="13"/>
        <v>0</v>
      </c>
      <c r="I135" s="108">
        <f t="shared" si="13"/>
        <v>0</v>
      </c>
      <c r="J135" s="140"/>
      <c r="K135" s="140"/>
    </row>
    <row r="136" spans="1:11" s="138" customFormat="1" ht="33.75">
      <c r="A136" s="48" t="s">
        <v>212</v>
      </c>
      <c r="B136" s="101">
        <v>701</v>
      </c>
      <c r="C136" s="107" t="s">
        <v>342</v>
      </c>
      <c r="D136" s="107" t="s">
        <v>309</v>
      </c>
      <c r="E136" s="142" t="s">
        <v>323</v>
      </c>
      <c r="F136" s="98">
        <v>400</v>
      </c>
      <c r="G136" s="108">
        <f>'Приложение 4'!F135</f>
        <v>9810436.8</v>
      </c>
      <c r="H136" s="108">
        <f>'Приложение 4'!G135</f>
        <v>0</v>
      </c>
      <c r="I136" s="108">
        <f>'Приложение 4'!H135</f>
        <v>0</v>
      </c>
      <c r="J136" s="140"/>
      <c r="K136" s="140"/>
    </row>
    <row r="137" spans="1:9" s="140" customFormat="1" ht="16.5">
      <c r="A137" s="66" t="s">
        <v>399</v>
      </c>
      <c r="B137" s="101">
        <v>701</v>
      </c>
      <c r="C137" s="105" t="s">
        <v>317</v>
      </c>
      <c r="D137" s="105"/>
      <c r="E137" s="101"/>
      <c r="F137" s="101"/>
      <c r="G137" s="106">
        <f aca="true" t="shared" si="14" ref="G137:I138">G138</f>
        <v>2089351.33</v>
      </c>
      <c r="H137" s="106">
        <f t="shared" si="14"/>
        <v>1440423.53</v>
      </c>
      <c r="I137" s="106">
        <f t="shared" si="14"/>
        <v>1440423.53</v>
      </c>
    </row>
    <row r="138" spans="1:9" s="140" customFormat="1" ht="33.75">
      <c r="A138" s="70" t="s">
        <v>400</v>
      </c>
      <c r="B138" s="101">
        <v>701</v>
      </c>
      <c r="C138" s="105" t="s">
        <v>317</v>
      </c>
      <c r="D138" s="105" t="s">
        <v>309</v>
      </c>
      <c r="E138" s="141"/>
      <c r="F138" s="101"/>
      <c r="G138" s="106">
        <f t="shared" si="14"/>
        <v>2089351.33</v>
      </c>
      <c r="H138" s="106">
        <f t="shared" si="14"/>
        <v>1440423.53</v>
      </c>
      <c r="I138" s="106">
        <f t="shared" si="14"/>
        <v>1440423.53</v>
      </c>
    </row>
    <row r="139" spans="1:9" s="140" customFormat="1" ht="33.75">
      <c r="A139" s="66" t="s">
        <v>401</v>
      </c>
      <c r="B139" s="101">
        <v>701</v>
      </c>
      <c r="C139" s="105" t="s">
        <v>317</v>
      </c>
      <c r="D139" s="105" t="s">
        <v>309</v>
      </c>
      <c r="E139" s="143">
        <v>2900000000</v>
      </c>
      <c r="F139" s="144"/>
      <c r="G139" s="106">
        <f>G140+G142+G144</f>
        <v>2089351.33</v>
      </c>
      <c r="H139" s="106">
        <f>H140+H142+H144</f>
        <v>1440423.53</v>
      </c>
      <c r="I139" s="106">
        <f>I140+I142+I144</f>
        <v>1440423.53</v>
      </c>
    </row>
    <row r="140" spans="1:9" s="140" customFormat="1" ht="33.75">
      <c r="A140" s="46" t="s">
        <v>281</v>
      </c>
      <c r="B140" s="101">
        <v>701</v>
      </c>
      <c r="C140" s="107" t="s">
        <v>317</v>
      </c>
      <c r="D140" s="107" t="s">
        <v>309</v>
      </c>
      <c r="E140" s="125">
        <v>2930000000</v>
      </c>
      <c r="F140" s="145"/>
      <c r="G140" s="108">
        <f>SUM(G141:G141)</f>
        <v>1820351.33</v>
      </c>
      <c r="H140" s="108">
        <f>SUM(H141:H141)</f>
        <v>1162190.53</v>
      </c>
      <c r="I140" s="108">
        <f>SUM(I141:I141)</f>
        <v>1162190.53</v>
      </c>
    </row>
    <row r="141" spans="1:9" s="140" customFormat="1" ht="33.75">
      <c r="A141" s="46" t="s">
        <v>187</v>
      </c>
      <c r="B141" s="101">
        <v>701</v>
      </c>
      <c r="C141" s="107" t="s">
        <v>317</v>
      </c>
      <c r="D141" s="107" t="s">
        <v>309</v>
      </c>
      <c r="E141" s="125">
        <v>2930000000</v>
      </c>
      <c r="F141" s="145">
        <v>200</v>
      </c>
      <c r="G141" s="108">
        <f>'Приложение 4'!F140</f>
        <v>1820351.33</v>
      </c>
      <c r="H141" s="108">
        <f>'Приложение 4'!G140</f>
        <v>1162190.53</v>
      </c>
      <c r="I141" s="108">
        <f>'Приложение 4'!H140</f>
        <v>1162190.53</v>
      </c>
    </row>
    <row r="142" spans="1:9" s="138" customFormat="1" ht="33.75" hidden="1">
      <c r="A142" s="146" t="s">
        <v>402</v>
      </c>
      <c r="B142" s="101">
        <v>701</v>
      </c>
      <c r="C142" s="107" t="s">
        <v>317</v>
      </c>
      <c r="D142" s="107" t="s">
        <v>309</v>
      </c>
      <c r="E142" s="125">
        <v>2940000000</v>
      </c>
      <c r="F142" s="145"/>
      <c r="G142" s="108">
        <f>G143</f>
        <v>0</v>
      </c>
      <c r="H142" s="108">
        <f>H143</f>
        <v>0</v>
      </c>
      <c r="I142" s="108">
        <f>I143</f>
        <v>0</v>
      </c>
    </row>
    <row r="143" spans="1:9" s="140" customFormat="1" ht="33.75" hidden="1">
      <c r="A143" s="48" t="s">
        <v>187</v>
      </c>
      <c r="B143" s="101">
        <v>701</v>
      </c>
      <c r="C143" s="107" t="s">
        <v>317</v>
      </c>
      <c r="D143" s="107" t="s">
        <v>309</v>
      </c>
      <c r="E143" s="125">
        <v>2940000000</v>
      </c>
      <c r="F143" s="125">
        <v>200</v>
      </c>
      <c r="G143" s="108">
        <v>0</v>
      </c>
      <c r="H143" s="108">
        <v>0</v>
      </c>
      <c r="I143" s="108">
        <v>0</v>
      </c>
    </row>
    <row r="144" spans="1:9" s="138" customFormat="1" ht="33.75">
      <c r="A144" s="46" t="s">
        <v>282</v>
      </c>
      <c r="B144" s="101">
        <v>701</v>
      </c>
      <c r="C144" s="107" t="s">
        <v>317</v>
      </c>
      <c r="D144" s="107" t="s">
        <v>309</v>
      </c>
      <c r="E144" s="125">
        <v>2970000000</v>
      </c>
      <c r="F144" s="125"/>
      <c r="G144" s="108">
        <f>G145</f>
        <v>269000</v>
      </c>
      <c r="H144" s="108">
        <f>H145</f>
        <v>278233</v>
      </c>
      <c r="I144" s="108">
        <f>I145</f>
        <v>278233</v>
      </c>
    </row>
    <row r="145" spans="1:9" s="140" customFormat="1" ht="33.75">
      <c r="A145" s="48" t="s">
        <v>187</v>
      </c>
      <c r="B145" s="101">
        <v>701</v>
      </c>
      <c r="C145" s="107" t="s">
        <v>317</v>
      </c>
      <c r="D145" s="107" t="s">
        <v>309</v>
      </c>
      <c r="E145" s="125">
        <v>2970000000</v>
      </c>
      <c r="F145" s="125">
        <v>200</v>
      </c>
      <c r="G145" s="108">
        <f>+'Приложение 4'!F144</f>
        <v>269000</v>
      </c>
      <c r="H145" s="108">
        <f>+'Приложение 4'!G144</f>
        <v>278233</v>
      </c>
      <c r="I145" s="108">
        <f>+'Приложение 4'!H144</f>
        <v>278233</v>
      </c>
    </row>
    <row r="146" spans="1:9" s="140" customFormat="1" ht="16.5">
      <c r="A146" s="66" t="s">
        <v>352</v>
      </c>
      <c r="B146" s="101">
        <v>701</v>
      </c>
      <c r="C146" s="105" t="s">
        <v>353</v>
      </c>
      <c r="D146" s="105"/>
      <c r="E146" s="101"/>
      <c r="F146" s="101"/>
      <c r="G146" s="106">
        <f>G147+G158+G192+G215+G174</f>
        <v>1397797706.8</v>
      </c>
      <c r="H146" s="106">
        <f>H147+H158+H192+H215+H174</f>
        <v>1099171680.7299998</v>
      </c>
      <c r="I146" s="106">
        <f>I147+I158+I192+I215+I174</f>
        <v>1101696595.06</v>
      </c>
    </row>
    <row r="147" spans="1:9" s="140" customFormat="1" ht="16.5">
      <c r="A147" s="66" t="s">
        <v>354</v>
      </c>
      <c r="B147" s="101">
        <v>701</v>
      </c>
      <c r="C147" s="105" t="s">
        <v>353</v>
      </c>
      <c r="D147" s="105" t="s">
        <v>299</v>
      </c>
      <c r="E147" s="101"/>
      <c r="F147" s="101"/>
      <c r="G147" s="106">
        <f>G148+G154</f>
        <v>334634688.94</v>
      </c>
      <c r="H147" s="106">
        <f>H148+H154</f>
        <v>333576586.28</v>
      </c>
      <c r="I147" s="106">
        <f>I148+I154</f>
        <v>333576586.28</v>
      </c>
    </row>
    <row r="148" spans="1:9" s="147" customFormat="1" ht="16.5">
      <c r="A148" s="66" t="s">
        <v>182</v>
      </c>
      <c r="B148" s="101">
        <v>701</v>
      </c>
      <c r="C148" s="105" t="s">
        <v>353</v>
      </c>
      <c r="D148" s="105" t="s">
        <v>299</v>
      </c>
      <c r="E148" s="141" t="s">
        <v>183</v>
      </c>
      <c r="F148" s="101"/>
      <c r="G148" s="106">
        <f>G149</f>
        <v>322679524.94</v>
      </c>
      <c r="H148" s="106">
        <f>H149</f>
        <v>333576586.28</v>
      </c>
      <c r="I148" s="106">
        <f>I149</f>
        <v>333576586.28</v>
      </c>
    </row>
    <row r="149" spans="1:9" s="2" customFormat="1" ht="16.5">
      <c r="A149" s="148" t="s">
        <v>192</v>
      </c>
      <c r="B149" s="101">
        <v>701</v>
      </c>
      <c r="C149" s="107" t="s">
        <v>353</v>
      </c>
      <c r="D149" s="107" t="s">
        <v>299</v>
      </c>
      <c r="E149" s="142" t="s">
        <v>193</v>
      </c>
      <c r="F149" s="98"/>
      <c r="G149" s="108">
        <f>SUM(G150:G153)</f>
        <v>322679524.94</v>
      </c>
      <c r="H149" s="108">
        <f>SUM(H150:H153)</f>
        <v>333576586.28</v>
      </c>
      <c r="I149" s="108">
        <f>SUM(I150:I153)</f>
        <v>333576586.28</v>
      </c>
    </row>
    <row r="150" spans="1:9" s="147" customFormat="1" ht="67.5">
      <c r="A150" s="46" t="s">
        <v>186</v>
      </c>
      <c r="B150" s="101">
        <v>701</v>
      </c>
      <c r="C150" s="107" t="s">
        <v>353</v>
      </c>
      <c r="D150" s="107" t="s">
        <v>299</v>
      </c>
      <c r="E150" s="142" t="s">
        <v>193</v>
      </c>
      <c r="F150" s="98">
        <v>100</v>
      </c>
      <c r="G150" s="108">
        <f>'Приложение 4'!F149</f>
        <v>160286018.76999995</v>
      </c>
      <c r="H150" s="108">
        <f>'Приложение 4'!G149</f>
        <v>160572845.09</v>
      </c>
      <c r="I150" s="108">
        <f>'Приложение 4'!H149</f>
        <v>160572845.09</v>
      </c>
    </row>
    <row r="151" spans="1:9" s="147" customFormat="1" ht="33.75">
      <c r="A151" s="48" t="s">
        <v>187</v>
      </c>
      <c r="B151" s="101">
        <v>701</v>
      </c>
      <c r="C151" s="107" t="s">
        <v>353</v>
      </c>
      <c r="D151" s="107" t="s">
        <v>299</v>
      </c>
      <c r="E151" s="142" t="s">
        <v>193</v>
      </c>
      <c r="F151" s="98">
        <v>200</v>
      </c>
      <c r="G151" s="108">
        <f>'Приложение 4'!F150</f>
        <v>157599050.02000004</v>
      </c>
      <c r="H151" s="108">
        <f>'Приложение 4'!G150</f>
        <v>164469540.19</v>
      </c>
      <c r="I151" s="108">
        <f>'Приложение 4'!H150</f>
        <v>164469540.19</v>
      </c>
    </row>
    <row r="152" spans="1:9" s="147" customFormat="1" ht="16.5">
      <c r="A152" s="48" t="s">
        <v>188</v>
      </c>
      <c r="B152" s="101">
        <v>701</v>
      </c>
      <c r="C152" s="107" t="s">
        <v>353</v>
      </c>
      <c r="D152" s="107" t="s">
        <v>299</v>
      </c>
      <c r="E152" s="142" t="s">
        <v>193</v>
      </c>
      <c r="F152" s="98">
        <v>300</v>
      </c>
      <c r="G152" s="108">
        <f>'Приложение 4'!F151</f>
        <v>412811.11000000004</v>
      </c>
      <c r="H152" s="108">
        <f>'Приложение 4'!G151</f>
        <v>0</v>
      </c>
      <c r="I152" s="108">
        <f>'Приложение 4'!H151</f>
        <v>0</v>
      </c>
    </row>
    <row r="153" spans="1:9" s="140" customFormat="1" ht="16.5">
      <c r="A153" s="46" t="s">
        <v>189</v>
      </c>
      <c r="B153" s="101">
        <v>701</v>
      </c>
      <c r="C153" s="107" t="s">
        <v>353</v>
      </c>
      <c r="D153" s="107" t="s">
        <v>299</v>
      </c>
      <c r="E153" s="142" t="s">
        <v>193</v>
      </c>
      <c r="F153" s="98">
        <v>800</v>
      </c>
      <c r="G153" s="108">
        <f>'Приложение 4'!F152</f>
        <v>4381645.04</v>
      </c>
      <c r="H153" s="108">
        <f>'Приложение 4'!G152</f>
        <v>8534201</v>
      </c>
      <c r="I153" s="108">
        <f>'Приложение 4'!H152</f>
        <v>8534201</v>
      </c>
    </row>
    <row r="154" spans="1:9" s="140" customFormat="1" ht="16.5">
      <c r="A154" s="70" t="s">
        <v>302</v>
      </c>
      <c r="B154" s="101">
        <v>701</v>
      </c>
      <c r="C154" s="105" t="s">
        <v>353</v>
      </c>
      <c r="D154" s="105" t="s">
        <v>299</v>
      </c>
      <c r="E154" s="113" t="s">
        <v>303</v>
      </c>
      <c r="F154" s="101"/>
      <c r="G154" s="106">
        <f>G155</f>
        <v>11955164</v>
      </c>
      <c r="H154" s="106">
        <f>H155</f>
        <v>0</v>
      </c>
      <c r="I154" s="106">
        <f>I155</f>
        <v>0</v>
      </c>
    </row>
    <row r="155" spans="1:9" s="140" customFormat="1" ht="16.5">
      <c r="A155" s="48" t="s">
        <v>322</v>
      </c>
      <c r="B155" s="101">
        <v>701</v>
      </c>
      <c r="C155" s="107" t="s">
        <v>353</v>
      </c>
      <c r="D155" s="107" t="s">
        <v>299</v>
      </c>
      <c r="E155" s="112" t="s">
        <v>323</v>
      </c>
      <c r="F155" s="98"/>
      <c r="G155" s="108">
        <f>G157+G156</f>
        <v>11955164</v>
      </c>
      <c r="H155" s="108">
        <f>H157+H156</f>
        <v>0</v>
      </c>
      <c r="I155" s="108">
        <f>I157+I156</f>
        <v>0</v>
      </c>
    </row>
    <row r="156" spans="1:9" s="140" customFormat="1" ht="33.75">
      <c r="A156" s="48" t="s">
        <v>187</v>
      </c>
      <c r="B156" s="101">
        <v>701</v>
      </c>
      <c r="C156" s="107" t="s">
        <v>353</v>
      </c>
      <c r="D156" s="107" t="s">
        <v>299</v>
      </c>
      <c r="E156" s="112" t="s">
        <v>323</v>
      </c>
      <c r="F156" s="98">
        <v>200</v>
      </c>
      <c r="G156" s="108">
        <f>'Приложение 4'!F155</f>
        <v>3772110</v>
      </c>
      <c r="H156" s="108">
        <f>'Приложение 4'!G155</f>
        <v>0</v>
      </c>
      <c r="I156" s="108">
        <f>'Приложение 4'!H155</f>
        <v>0</v>
      </c>
    </row>
    <row r="157" spans="1:9" s="140" customFormat="1" ht="16.5">
      <c r="A157" s="46" t="s">
        <v>189</v>
      </c>
      <c r="B157" s="101">
        <v>701</v>
      </c>
      <c r="C157" s="107" t="s">
        <v>353</v>
      </c>
      <c r="D157" s="107" t="s">
        <v>299</v>
      </c>
      <c r="E157" s="112" t="s">
        <v>323</v>
      </c>
      <c r="F157" s="98">
        <v>800</v>
      </c>
      <c r="G157" s="108">
        <f>'Приложение 4'!F156</f>
        <v>8183054</v>
      </c>
      <c r="H157" s="108">
        <f>'Приложение 4'!G156</f>
        <v>0</v>
      </c>
      <c r="I157" s="108">
        <f>'Приложение 4'!H156</f>
        <v>0</v>
      </c>
    </row>
    <row r="158" spans="1:9" s="140" customFormat="1" ht="16.5">
      <c r="A158" s="66" t="s">
        <v>355</v>
      </c>
      <c r="B158" s="101">
        <v>701</v>
      </c>
      <c r="C158" s="105" t="s">
        <v>353</v>
      </c>
      <c r="D158" s="105" t="s">
        <v>301</v>
      </c>
      <c r="E158" s="101"/>
      <c r="F158" s="101"/>
      <c r="G158" s="106">
        <f>G159+G166+G169</f>
        <v>529790846.30999994</v>
      </c>
      <c r="H158" s="106">
        <f>H159+H166+H169</f>
        <v>420442889.58</v>
      </c>
      <c r="I158" s="106">
        <f>I159+I166+I169</f>
        <v>422709839.27</v>
      </c>
    </row>
    <row r="159" spans="1:9" s="140" customFormat="1" ht="16.5">
      <c r="A159" s="66" t="s">
        <v>182</v>
      </c>
      <c r="B159" s="101">
        <v>701</v>
      </c>
      <c r="C159" s="105" t="s">
        <v>353</v>
      </c>
      <c r="D159" s="105" t="s">
        <v>301</v>
      </c>
      <c r="E159" s="141" t="s">
        <v>183</v>
      </c>
      <c r="F159" s="101"/>
      <c r="G159" s="106">
        <f>G160</f>
        <v>403816657.02</v>
      </c>
      <c r="H159" s="106">
        <f>H160</f>
        <v>420442889.58</v>
      </c>
      <c r="I159" s="106">
        <f>I160</f>
        <v>422709839.27</v>
      </c>
    </row>
    <row r="160" spans="1:9" s="140" customFormat="1" ht="16.5">
      <c r="A160" s="46" t="s">
        <v>194</v>
      </c>
      <c r="B160" s="101">
        <v>701</v>
      </c>
      <c r="C160" s="107" t="s">
        <v>353</v>
      </c>
      <c r="D160" s="107" t="s">
        <v>301</v>
      </c>
      <c r="E160" s="142" t="s">
        <v>195</v>
      </c>
      <c r="F160" s="98"/>
      <c r="G160" s="108">
        <f>G161+G162+G165+G164+G163</f>
        <v>403816657.02</v>
      </c>
      <c r="H160" s="108">
        <f>H161+H162+H165+H164+H163</f>
        <v>420442889.58</v>
      </c>
      <c r="I160" s="108">
        <f>I161+I162+I165+I164+I163</f>
        <v>422709839.27</v>
      </c>
    </row>
    <row r="161" spans="1:9" s="140" customFormat="1" ht="67.5">
      <c r="A161" s="48" t="s">
        <v>186</v>
      </c>
      <c r="B161" s="101">
        <v>701</v>
      </c>
      <c r="C161" s="107" t="s">
        <v>353</v>
      </c>
      <c r="D161" s="107" t="s">
        <v>301</v>
      </c>
      <c r="E161" s="142" t="s">
        <v>195</v>
      </c>
      <c r="F161" s="98">
        <v>100</v>
      </c>
      <c r="G161" s="109">
        <f>'Приложение 4'!F160</f>
        <v>87230248.62</v>
      </c>
      <c r="H161" s="109">
        <f>'Приложение 4'!G160</f>
        <v>86586452</v>
      </c>
      <c r="I161" s="109">
        <f>'Приложение 4'!H160</f>
        <v>86122077</v>
      </c>
    </row>
    <row r="162" spans="1:9" s="140" customFormat="1" ht="32.25" customHeight="1">
      <c r="A162" s="48" t="s">
        <v>187</v>
      </c>
      <c r="B162" s="101">
        <v>701</v>
      </c>
      <c r="C162" s="107" t="s">
        <v>353</v>
      </c>
      <c r="D162" s="107" t="s">
        <v>301</v>
      </c>
      <c r="E162" s="142" t="s">
        <v>195</v>
      </c>
      <c r="F162" s="98">
        <v>200</v>
      </c>
      <c r="G162" s="109">
        <f>'Приложение 4'!F161</f>
        <v>62270950.400000006</v>
      </c>
      <c r="H162" s="109">
        <f>'Приложение 4'!G161</f>
        <v>63877575.51</v>
      </c>
      <c r="I162" s="109">
        <f>'Приложение 4'!H161</f>
        <v>63877575.51</v>
      </c>
    </row>
    <row r="163" spans="1:9" s="140" customFormat="1" ht="16.5">
      <c r="A163" s="48" t="s">
        <v>188</v>
      </c>
      <c r="B163" s="101">
        <v>701</v>
      </c>
      <c r="C163" s="107" t="s">
        <v>353</v>
      </c>
      <c r="D163" s="107" t="s">
        <v>301</v>
      </c>
      <c r="E163" s="142" t="s">
        <v>195</v>
      </c>
      <c r="F163" s="98">
        <v>300</v>
      </c>
      <c r="G163" s="109">
        <f>'Приложение 4'!F162</f>
        <v>65100</v>
      </c>
      <c r="H163" s="109">
        <f>'Приложение 4'!G162</f>
        <v>0</v>
      </c>
      <c r="I163" s="109">
        <f>'Приложение 4'!H162</f>
        <v>0</v>
      </c>
    </row>
    <row r="164" spans="1:9" s="140" customFormat="1" ht="33.75">
      <c r="A164" s="46" t="s">
        <v>196</v>
      </c>
      <c r="B164" s="101">
        <v>701</v>
      </c>
      <c r="C164" s="107" t="s">
        <v>353</v>
      </c>
      <c r="D164" s="107" t="s">
        <v>301</v>
      </c>
      <c r="E164" s="142" t="s">
        <v>195</v>
      </c>
      <c r="F164" s="98">
        <v>600</v>
      </c>
      <c r="G164" s="109">
        <f>'Приложение 4'!F163</f>
        <v>252266645.17</v>
      </c>
      <c r="H164" s="109">
        <f>'Приложение 4'!G163</f>
        <v>268409046.07</v>
      </c>
      <c r="I164" s="109">
        <f>'Приложение 4'!H163</f>
        <v>271140370.76</v>
      </c>
    </row>
    <row r="165" spans="1:9" s="140" customFormat="1" ht="16.5">
      <c r="A165" s="46" t="s">
        <v>189</v>
      </c>
      <c r="B165" s="101">
        <v>701</v>
      </c>
      <c r="C165" s="107" t="s">
        <v>353</v>
      </c>
      <c r="D165" s="107" t="s">
        <v>301</v>
      </c>
      <c r="E165" s="142" t="s">
        <v>195</v>
      </c>
      <c r="F165" s="98">
        <v>800</v>
      </c>
      <c r="G165" s="109">
        <f>'Приложение 4'!F164</f>
        <v>1983712.83</v>
      </c>
      <c r="H165" s="109">
        <f>'Приложение 4'!G164</f>
        <v>1569816</v>
      </c>
      <c r="I165" s="109">
        <f>'Приложение 4'!H164</f>
        <v>1569816</v>
      </c>
    </row>
    <row r="166" spans="1:9" s="140" customFormat="1" ht="33.75">
      <c r="A166" s="66" t="s">
        <v>259</v>
      </c>
      <c r="B166" s="101">
        <v>701</v>
      </c>
      <c r="C166" s="107" t="s">
        <v>353</v>
      </c>
      <c r="D166" s="107" t="s">
        <v>301</v>
      </c>
      <c r="E166" s="141" t="s">
        <v>260</v>
      </c>
      <c r="F166" s="101"/>
      <c r="G166" s="111">
        <f aca="true" t="shared" si="15" ref="G166:I167">G167</f>
        <v>67902277.06000002</v>
      </c>
      <c r="H166" s="111">
        <f t="shared" si="15"/>
        <v>0</v>
      </c>
      <c r="I166" s="111">
        <f t="shared" si="15"/>
        <v>0</v>
      </c>
    </row>
    <row r="167" spans="1:9" s="140" customFormat="1" ht="16.5">
      <c r="A167" s="46" t="s">
        <v>262</v>
      </c>
      <c r="B167" s="101">
        <v>701</v>
      </c>
      <c r="C167" s="107" t="s">
        <v>353</v>
      </c>
      <c r="D167" s="107" t="s">
        <v>301</v>
      </c>
      <c r="E167" s="142" t="s">
        <v>263</v>
      </c>
      <c r="F167" s="98"/>
      <c r="G167" s="109">
        <f t="shared" si="15"/>
        <v>67902277.06000002</v>
      </c>
      <c r="H167" s="109">
        <f t="shared" si="15"/>
        <v>0</v>
      </c>
      <c r="I167" s="109">
        <f t="shared" si="15"/>
        <v>0</v>
      </c>
    </row>
    <row r="168" spans="1:9" s="140" customFormat="1" ht="33.75">
      <c r="A168" s="46" t="s">
        <v>264</v>
      </c>
      <c r="B168" s="101">
        <v>701</v>
      </c>
      <c r="C168" s="107" t="s">
        <v>353</v>
      </c>
      <c r="D168" s="107" t="s">
        <v>301</v>
      </c>
      <c r="E168" s="142" t="s">
        <v>263</v>
      </c>
      <c r="F168" s="98">
        <v>400</v>
      </c>
      <c r="G168" s="109">
        <f>'Приложение 4'!F167</f>
        <v>67902277.06000002</v>
      </c>
      <c r="H168" s="109">
        <f>'Приложение 4'!G167</f>
        <v>0</v>
      </c>
      <c r="I168" s="109">
        <f>'Приложение 4'!H167</f>
        <v>0</v>
      </c>
    </row>
    <row r="169" spans="1:9" s="140" customFormat="1" ht="16.5">
      <c r="A169" s="70" t="s">
        <v>302</v>
      </c>
      <c r="B169" s="101">
        <v>701</v>
      </c>
      <c r="C169" s="105" t="s">
        <v>353</v>
      </c>
      <c r="D169" s="105" t="s">
        <v>301</v>
      </c>
      <c r="E169" s="113" t="s">
        <v>303</v>
      </c>
      <c r="F169" s="101"/>
      <c r="G169" s="111">
        <f>G170</f>
        <v>58071912.22999998</v>
      </c>
      <c r="H169" s="111">
        <f>H170</f>
        <v>0</v>
      </c>
      <c r="I169" s="111">
        <f>I170</f>
        <v>0</v>
      </c>
    </row>
    <row r="170" spans="1:9" s="140" customFormat="1" ht="16.5">
      <c r="A170" s="48" t="s">
        <v>322</v>
      </c>
      <c r="B170" s="101">
        <v>701</v>
      </c>
      <c r="C170" s="107" t="s">
        <v>353</v>
      </c>
      <c r="D170" s="107" t="s">
        <v>301</v>
      </c>
      <c r="E170" s="112" t="s">
        <v>323</v>
      </c>
      <c r="F170" s="98"/>
      <c r="G170" s="109">
        <f>SUM(G171:G173)</f>
        <v>58071912.22999998</v>
      </c>
      <c r="H170" s="109">
        <f>SUM(H171:H173)</f>
        <v>0</v>
      </c>
      <c r="I170" s="109">
        <f>SUM(I171:I173)</f>
        <v>0</v>
      </c>
    </row>
    <row r="171" spans="1:9" s="140" customFormat="1" ht="33.75">
      <c r="A171" s="48" t="s">
        <v>187</v>
      </c>
      <c r="B171" s="101">
        <v>701</v>
      </c>
      <c r="C171" s="107" t="s">
        <v>353</v>
      </c>
      <c r="D171" s="107" t="s">
        <v>301</v>
      </c>
      <c r="E171" s="112" t="s">
        <v>323</v>
      </c>
      <c r="F171" s="98">
        <v>200</v>
      </c>
      <c r="G171" s="109">
        <f>'Приложение 4'!F170</f>
        <v>7776215.08</v>
      </c>
      <c r="H171" s="109">
        <f>'Приложение 4'!G170</f>
        <v>0</v>
      </c>
      <c r="I171" s="109">
        <f>'Приложение 4'!H170</f>
        <v>0</v>
      </c>
    </row>
    <row r="172" spans="1:9" s="140" customFormat="1" ht="33.75" hidden="1">
      <c r="A172" s="46" t="s">
        <v>264</v>
      </c>
      <c r="B172" s="101">
        <v>701</v>
      </c>
      <c r="C172" s="107" t="s">
        <v>353</v>
      </c>
      <c r="D172" s="107" t="s">
        <v>301</v>
      </c>
      <c r="E172" s="112" t="s">
        <v>323</v>
      </c>
      <c r="F172" s="98">
        <v>400</v>
      </c>
      <c r="G172" s="109">
        <v>0</v>
      </c>
      <c r="H172" s="109">
        <v>0</v>
      </c>
      <c r="I172" s="109">
        <v>0</v>
      </c>
    </row>
    <row r="173" spans="1:9" s="140" customFormat="1" ht="33.75">
      <c r="A173" s="46" t="s">
        <v>196</v>
      </c>
      <c r="B173" s="101">
        <v>701</v>
      </c>
      <c r="C173" s="107" t="s">
        <v>353</v>
      </c>
      <c r="D173" s="107" t="s">
        <v>301</v>
      </c>
      <c r="E173" s="112" t="s">
        <v>323</v>
      </c>
      <c r="F173" s="98">
        <v>600</v>
      </c>
      <c r="G173" s="109">
        <f>'Приложение 4'!F172</f>
        <v>50295697.14999998</v>
      </c>
      <c r="H173" s="109">
        <f>'Приложение 4'!G172</f>
        <v>0</v>
      </c>
      <c r="I173" s="109">
        <f>'Приложение 4'!H172</f>
        <v>0</v>
      </c>
    </row>
    <row r="174" spans="1:9" s="140" customFormat="1" ht="16.5">
      <c r="A174" s="66" t="s">
        <v>356</v>
      </c>
      <c r="B174" s="101">
        <v>701</v>
      </c>
      <c r="C174" s="105" t="s">
        <v>353</v>
      </c>
      <c r="D174" s="105" t="s">
        <v>309</v>
      </c>
      <c r="E174" s="141"/>
      <c r="F174" s="101"/>
      <c r="G174" s="111">
        <f>G175+G180+G186+G189</f>
        <v>352172227.11</v>
      </c>
      <c r="H174" s="111">
        <f>H175+H180+H186+H189</f>
        <v>179150030.47</v>
      </c>
      <c r="I174" s="111">
        <f>I175+I180+I186+I189</f>
        <v>179407995.11</v>
      </c>
    </row>
    <row r="175" spans="1:9" s="140" customFormat="1" ht="16.5">
      <c r="A175" s="66" t="s">
        <v>182</v>
      </c>
      <c r="B175" s="101">
        <v>701</v>
      </c>
      <c r="C175" s="105" t="s">
        <v>353</v>
      </c>
      <c r="D175" s="105" t="s">
        <v>309</v>
      </c>
      <c r="E175" s="141" t="s">
        <v>183</v>
      </c>
      <c r="F175" s="101"/>
      <c r="G175" s="111">
        <f>G176</f>
        <v>87880646.92999999</v>
      </c>
      <c r="H175" s="111">
        <f>H176</f>
        <v>81729230.47</v>
      </c>
      <c r="I175" s="111">
        <f>I176</f>
        <v>81987195.11</v>
      </c>
    </row>
    <row r="176" spans="1:9" s="138" customFormat="1" ht="16.5">
      <c r="A176" s="149" t="s">
        <v>197</v>
      </c>
      <c r="B176" s="101">
        <v>701</v>
      </c>
      <c r="C176" s="107" t="s">
        <v>353</v>
      </c>
      <c r="D176" s="107" t="s">
        <v>309</v>
      </c>
      <c r="E176" s="142" t="s">
        <v>198</v>
      </c>
      <c r="F176" s="98"/>
      <c r="G176" s="108">
        <f>G177+G178+G179</f>
        <v>87880646.92999999</v>
      </c>
      <c r="H176" s="108">
        <f>H177+H178+H179</f>
        <v>81729230.47</v>
      </c>
      <c r="I176" s="108">
        <f>I177+I178+I179</f>
        <v>81987195.11</v>
      </c>
    </row>
    <row r="177" spans="1:9" s="140" customFormat="1" ht="67.5">
      <c r="A177" s="48" t="s">
        <v>186</v>
      </c>
      <c r="B177" s="101">
        <v>701</v>
      </c>
      <c r="C177" s="107" t="s">
        <v>353</v>
      </c>
      <c r="D177" s="107" t="s">
        <v>309</v>
      </c>
      <c r="E177" s="142" t="s">
        <v>198</v>
      </c>
      <c r="F177" s="98">
        <v>100</v>
      </c>
      <c r="G177" s="108">
        <f>'Приложение 4'!F176</f>
        <v>74193677.16</v>
      </c>
      <c r="H177" s="108">
        <f>'Приложение 4'!G176</f>
        <v>74163704.13</v>
      </c>
      <c r="I177" s="108">
        <f>'Приложение 4'!H176</f>
        <v>74163704.13</v>
      </c>
    </row>
    <row r="178" spans="1:9" s="140" customFormat="1" ht="33.75">
      <c r="A178" s="48" t="s">
        <v>187</v>
      </c>
      <c r="B178" s="101">
        <v>701</v>
      </c>
      <c r="C178" s="107" t="s">
        <v>353</v>
      </c>
      <c r="D178" s="107" t="s">
        <v>309</v>
      </c>
      <c r="E178" s="142" t="s">
        <v>198</v>
      </c>
      <c r="F178" s="98">
        <v>200</v>
      </c>
      <c r="G178" s="108">
        <f>'Приложение 4'!F177</f>
        <v>11086969.77</v>
      </c>
      <c r="H178" s="108">
        <f>'Приложение 4'!G177</f>
        <v>7565526.34</v>
      </c>
      <c r="I178" s="108">
        <f>'Приложение 4'!H177</f>
        <v>7823490.98</v>
      </c>
    </row>
    <row r="179" spans="1:9" s="140" customFormat="1" ht="16.5">
      <c r="A179" s="46" t="s">
        <v>189</v>
      </c>
      <c r="B179" s="101">
        <v>701</v>
      </c>
      <c r="C179" s="107" t="s">
        <v>353</v>
      </c>
      <c r="D179" s="107" t="s">
        <v>309</v>
      </c>
      <c r="E179" s="142" t="s">
        <v>198</v>
      </c>
      <c r="F179" s="98">
        <v>800</v>
      </c>
      <c r="G179" s="108">
        <f>'Приложение 4'!F178</f>
        <v>2600000</v>
      </c>
      <c r="H179" s="108">
        <v>0</v>
      </c>
      <c r="I179" s="108">
        <v>0</v>
      </c>
    </row>
    <row r="180" spans="1:9" s="140" customFormat="1" ht="16.5">
      <c r="A180" s="66" t="s">
        <v>201</v>
      </c>
      <c r="B180" s="101">
        <v>701</v>
      </c>
      <c r="C180" s="105" t="s">
        <v>353</v>
      </c>
      <c r="D180" s="105" t="s">
        <v>309</v>
      </c>
      <c r="E180" s="141" t="s">
        <v>183</v>
      </c>
      <c r="F180" s="101"/>
      <c r="G180" s="106">
        <f>G181</f>
        <v>94021589.73</v>
      </c>
      <c r="H180" s="106">
        <f>H181</f>
        <v>97420800</v>
      </c>
      <c r="I180" s="106">
        <f>I181</f>
        <v>97420800</v>
      </c>
    </row>
    <row r="181" spans="1:9" s="140" customFormat="1" ht="16.5">
      <c r="A181" s="46" t="s">
        <v>197</v>
      </c>
      <c r="B181" s="101">
        <v>701</v>
      </c>
      <c r="C181" s="107" t="s">
        <v>353</v>
      </c>
      <c r="D181" s="107" t="s">
        <v>309</v>
      </c>
      <c r="E181" s="142" t="s">
        <v>198</v>
      </c>
      <c r="F181" s="98"/>
      <c r="G181" s="108">
        <f>G182+G183+G185+G184</f>
        <v>94021589.73</v>
      </c>
      <c r="H181" s="108">
        <f>H182+H183+H185+H184</f>
        <v>97420800</v>
      </c>
      <c r="I181" s="108">
        <f>I182+I183+I185+I184</f>
        <v>97420800</v>
      </c>
    </row>
    <row r="182" spans="1:9" s="140" customFormat="1" ht="67.5">
      <c r="A182" s="48" t="s">
        <v>186</v>
      </c>
      <c r="B182" s="101">
        <v>701</v>
      </c>
      <c r="C182" s="107" t="s">
        <v>353</v>
      </c>
      <c r="D182" s="107" t="s">
        <v>309</v>
      </c>
      <c r="E182" s="142" t="s">
        <v>198</v>
      </c>
      <c r="F182" s="98">
        <v>100</v>
      </c>
      <c r="G182" s="109">
        <f>'Приложение 4'!F181</f>
        <v>86570549.73</v>
      </c>
      <c r="H182" s="109">
        <f>'Приложение 4'!G181</f>
        <v>86918500</v>
      </c>
      <c r="I182" s="109">
        <f>'Приложение 4'!H181</f>
        <v>86918500</v>
      </c>
    </row>
    <row r="183" spans="1:9" s="140" customFormat="1" ht="33.75">
      <c r="A183" s="48" t="s">
        <v>187</v>
      </c>
      <c r="B183" s="101">
        <v>701</v>
      </c>
      <c r="C183" s="107" t="s">
        <v>353</v>
      </c>
      <c r="D183" s="107" t="s">
        <v>309</v>
      </c>
      <c r="E183" s="142" t="s">
        <v>198</v>
      </c>
      <c r="F183" s="98">
        <v>200</v>
      </c>
      <c r="G183" s="109">
        <f>'Приложение 4'!F182</f>
        <v>6950747.37</v>
      </c>
      <c r="H183" s="109">
        <f>'Приложение 4'!G182</f>
        <v>10476500</v>
      </c>
      <c r="I183" s="109">
        <f>'Приложение 4'!H182</f>
        <v>10476500</v>
      </c>
    </row>
    <row r="184" spans="1:9" s="140" customFormat="1" ht="16.5">
      <c r="A184" s="48" t="s">
        <v>188</v>
      </c>
      <c r="B184" s="101">
        <v>701</v>
      </c>
      <c r="C184" s="107" t="s">
        <v>353</v>
      </c>
      <c r="D184" s="107" t="s">
        <v>309</v>
      </c>
      <c r="E184" s="142" t="s">
        <v>198</v>
      </c>
      <c r="F184" s="98">
        <v>300</v>
      </c>
      <c r="G184" s="109">
        <f>'Приложение 4'!F183</f>
        <v>379492.63</v>
      </c>
      <c r="H184" s="109">
        <f>'Приложение 4'!G183</f>
        <v>0</v>
      </c>
      <c r="I184" s="109">
        <f>'Приложение 4'!H183</f>
        <v>0</v>
      </c>
    </row>
    <row r="185" spans="1:9" s="140" customFormat="1" ht="16.5">
      <c r="A185" s="46" t="s">
        <v>189</v>
      </c>
      <c r="B185" s="101">
        <v>701</v>
      </c>
      <c r="C185" s="107" t="s">
        <v>353</v>
      </c>
      <c r="D185" s="107" t="s">
        <v>309</v>
      </c>
      <c r="E185" s="142" t="s">
        <v>198</v>
      </c>
      <c r="F185" s="98">
        <v>800</v>
      </c>
      <c r="G185" s="109">
        <f>'Приложение 4'!F184</f>
        <v>120800</v>
      </c>
      <c r="H185" s="109">
        <f>'Приложение 4'!G184</f>
        <v>25800</v>
      </c>
      <c r="I185" s="109">
        <f>'Приложение 4'!H184</f>
        <v>25800</v>
      </c>
    </row>
    <row r="186" spans="1:9" s="140" customFormat="1" ht="33.75">
      <c r="A186" s="66" t="s">
        <v>259</v>
      </c>
      <c r="B186" s="101">
        <v>701</v>
      </c>
      <c r="C186" s="107" t="s">
        <v>353</v>
      </c>
      <c r="D186" s="107" t="s">
        <v>309</v>
      </c>
      <c r="E186" s="141" t="s">
        <v>260</v>
      </c>
      <c r="F186" s="98"/>
      <c r="G186" s="109">
        <f aca="true" t="shared" si="16" ref="G186:I187">G187</f>
        <v>170080852.59</v>
      </c>
      <c r="H186" s="109">
        <f t="shared" si="16"/>
        <v>0</v>
      </c>
      <c r="I186" s="109">
        <f t="shared" si="16"/>
        <v>0</v>
      </c>
    </row>
    <row r="187" spans="1:9" s="140" customFormat="1" ht="16.5">
      <c r="A187" s="46" t="s">
        <v>262</v>
      </c>
      <c r="B187" s="101">
        <v>701</v>
      </c>
      <c r="C187" s="107" t="s">
        <v>353</v>
      </c>
      <c r="D187" s="107" t="s">
        <v>309</v>
      </c>
      <c r="E187" s="142" t="s">
        <v>263</v>
      </c>
      <c r="F187" s="98"/>
      <c r="G187" s="109">
        <f t="shared" si="16"/>
        <v>170080852.59</v>
      </c>
      <c r="H187" s="109">
        <f t="shared" si="16"/>
        <v>0</v>
      </c>
      <c r="I187" s="109">
        <f t="shared" si="16"/>
        <v>0</v>
      </c>
    </row>
    <row r="188" spans="1:9" s="140" customFormat="1" ht="33.75">
      <c r="A188" s="46" t="s">
        <v>264</v>
      </c>
      <c r="B188" s="101">
        <v>701</v>
      </c>
      <c r="C188" s="107" t="s">
        <v>353</v>
      </c>
      <c r="D188" s="107" t="s">
        <v>309</v>
      </c>
      <c r="E188" s="142" t="s">
        <v>263</v>
      </c>
      <c r="F188" s="98">
        <v>400</v>
      </c>
      <c r="G188" s="109">
        <f>'Приложение 4'!F187</f>
        <v>170080852.59</v>
      </c>
      <c r="H188" s="109">
        <f>'Приложение 4'!G187</f>
        <v>0</v>
      </c>
      <c r="I188" s="109">
        <f>'Приложение 4'!H187</f>
        <v>0</v>
      </c>
    </row>
    <row r="189" spans="1:9" s="140" customFormat="1" ht="16.5">
      <c r="A189" s="70" t="s">
        <v>302</v>
      </c>
      <c r="B189" s="101">
        <v>701</v>
      </c>
      <c r="C189" s="107" t="s">
        <v>353</v>
      </c>
      <c r="D189" s="107" t="s">
        <v>309</v>
      </c>
      <c r="E189" s="113" t="s">
        <v>303</v>
      </c>
      <c r="F189" s="98"/>
      <c r="G189" s="111">
        <f aca="true" t="shared" si="17" ref="G189:I190">G190</f>
        <v>189137.86</v>
      </c>
      <c r="H189" s="111">
        <f t="shared" si="17"/>
        <v>0</v>
      </c>
      <c r="I189" s="111">
        <f t="shared" si="17"/>
        <v>0</v>
      </c>
    </row>
    <row r="190" spans="1:9" s="140" customFormat="1" ht="16.5">
      <c r="A190" s="48" t="s">
        <v>322</v>
      </c>
      <c r="B190" s="101">
        <v>701</v>
      </c>
      <c r="C190" s="107" t="s">
        <v>353</v>
      </c>
      <c r="D190" s="107" t="s">
        <v>309</v>
      </c>
      <c r="E190" s="112" t="s">
        <v>323</v>
      </c>
      <c r="F190" s="98"/>
      <c r="G190" s="109">
        <f t="shared" si="17"/>
        <v>189137.86</v>
      </c>
      <c r="H190" s="109">
        <f t="shared" si="17"/>
        <v>0</v>
      </c>
      <c r="I190" s="109">
        <f t="shared" si="17"/>
        <v>0</v>
      </c>
    </row>
    <row r="191" spans="1:9" s="140" customFormat="1" ht="33.75">
      <c r="A191" s="48" t="s">
        <v>187</v>
      </c>
      <c r="B191" s="101">
        <v>701</v>
      </c>
      <c r="C191" s="107" t="s">
        <v>353</v>
      </c>
      <c r="D191" s="107" t="s">
        <v>309</v>
      </c>
      <c r="E191" s="142" t="s">
        <v>323</v>
      </c>
      <c r="F191" s="98">
        <v>200</v>
      </c>
      <c r="G191" s="109">
        <f>'Приложение 4'!F190</f>
        <v>189137.86</v>
      </c>
      <c r="H191" s="109">
        <f>'Приложение 4'!G190</f>
        <v>0</v>
      </c>
      <c r="I191" s="109">
        <f>'Приложение 4'!H190</f>
        <v>0</v>
      </c>
    </row>
    <row r="192" spans="1:9" s="140" customFormat="1" ht="16.5">
      <c r="A192" s="66" t="s">
        <v>403</v>
      </c>
      <c r="B192" s="101">
        <v>701</v>
      </c>
      <c r="C192" s="105" t="s">
        <v>353</v>
      </c>
      <c r="D192" s="105" t="s">
        <v>353</v>
      </c>
      <c r="E192" s="101"/>
      <c r="F192" s="101"/>
      <c r="G192" s="106">
        <f>G193+G208</f>
        <v>100571482.8</v>
      </c>
      <c r="H192" s="106">
        <f>H193+H208</f>
        <v>82727641.4</v>
      </c>
      <c r="I192" s="106">
        <f>I193+I208</f>
        <v>82727641.4</v>
      </c>
    </row>
    <row r="193" spans="1:9" s="140" customFormat="1" ht="33.75">
      <c r="A193" s="66" t="s">
        <v>404</v>
      </c>
      <c r="B193" s="101">
        <v>701</v>
      </c>
      <c r="C193" s="105" t="s">
        <v>353</v>
      </c>
      <c r="D193" s="105" t="s">
        <v>353</v>
      </c>
      <c r="E193" s="141" t="s">
        <v>234</v>
      </c>
      <c r="F193" s="101"/>
      <c r="G193" s="106">
        <f>G194+G197+G206+G201</f>
        <v>32650488.8</v>
      </c>
      <c r="H193" s="106">
        <f>H194+H197+H206+H201</f>
        <v>29675883.55</v>
      </c>
      <c r="I193" s="106">
        <f>I194+I197+I206+I201</f>
        <v>29675883.55</v>
      </c>
    </row>
    <row r="194" spans="1:9" s="140" customFormat="1" ht="16.5">
      <c r="A194" s="46" t="s">
        <v>184</v>
      </c>
      <c r="B194" s="101">
        <v>701</v>
      </c>
      <c r="C194" s="107" t="s">
        <v>353</v>
      </c>
      <c r="D194" s="107" t="s">
        <v>353</v>
      </c>
      <c r="E194" s="142" t="s">
        <v>235</v>
      </c>
      <c r="F194" s="98"/>
      <c r="G194" s="108">
        <f>SUM(G195:G196)</f>
        <v>17877488.47</v>
      </c>
      <c r="H194" s="108">
        <f>SUM(H195:H196)</f>
        <v>14522840.35</v>
      </c>
      <c r="I194" s="108">
        <f>SUM(I195:I196)</f>
        <v>14522840.35</v>
      </c>
    </row>
    <row r="195" spans="1:9" s="140" customFormat="1" ht="67.5">
      <c r="A195" s="46" t="s">
        <v>186</v>
      </c>
      <c r="B195" s="101">
        <v>701</v>
      </c>
      <c r="C195" s="107" t="s">
        <v>353</v>
      </c>
      <c r="D195" s="107" t="s">
        <v>353</v>
      </c>
      <c r="E195" s="142" t="s">
        <v>235</v>
      </c>
      <c r="F195" s="98">
        <v>100</v>
      </c>
      <c r="G195" s="108">
        <f>'Приложение 4'!F194</f>
        <v>15772645.17</v>
      </c>
      <c r="H195" s="108">
        <f>'Приложение 4'!G194</f>
        <v>13523598.93</v>
      </c>
      <c r="I195" s="108">
        <f>'Приложение 4'!H194</f>
        <v>13523598.93</v>
      </c>
    </row>
    <row r="196" spans="1:9" s="140" customFormat="1" ht="33.75">
      <c r="A196" s="48" t="s">
        <v>187</v>
      </c>
      <c r="B196" s="101">
        <v>701</v>
      </c>
      <c r="C196" s="107" t="s">
        <v>353</v>
      </c>
      <c r="D196" s="107" t="s">
        <v>353</v>
      </c>
      <c r="E196" s="142" t="s">
        <v>235</v>
      </c>
      <c r="F196" s="98">
        <v>200</v>
      </c>
      <c r="G196" s="108">
        <f>'Приложение 4'!F195</f>
        <v>2104843.3</v>
      </c>
      <c r="H196" s="108">
        <f>'Приложение 4'!G195</f>
        <v>999241.42</v>
      </c>
      <c r="I196" s="108">
        <f>'Приложение 4'!H195</f>
        <v>999241.42</v>
      </c>
    </row>
    <row r="197" spans="1:11" s="151" customFormat="1" ht="33.75">
      <c r="A197" s="46" t="s">
        <v>236</v>
      </c>
      <c r="B197" s="101">
        <v>701</v>
      </c>
      <c r="C197" s="107" t="s">
        <v>353</v>
      </c>
      <c r="D197" s="107" t="s">
        <v>353</v>
      </c>
      <c r="E197" s="142" t="s">
        <v>237</v>
      </c>
      <c r="F197" s="98"/>
      <c r="G197" s="108">
        <f>G198+G199+G200</f>
        <v>12965895.959999999</v>
      </c>
      <c r="H197" s="108">
        <f>H198+H199+H200</f>
        <v>13290057.32</v>
      </c>
      <c r="I197" s="108">
        <f>I198+I199+I200</f>
        <v>13290057.32</v>
      </c>
      <c r="J197" s="150"/>
      <c r="K197" s="150"/>
    </row>
    <row r="198" spans="1:11" s="151" customFormat="1" ht="67.5">
      <c r="A198" s="46" t="s">
        <v>186</v>
      </c>
      <c r="B198" s="101">
        <v>701</v>
      </c>
      <c r="C198" s="107" t="s">
        <v>353</v>
      </c>
      <c r="D198" s="107" t="s">
        <v>353</v>
      </c>
      <c r="E198" s="142" t="s">
        <v>237</v>
      </c>
      <c r="F198" s="98">
        <v>100</v>
      </c>
      <c r="G198" s="108">
        <f>'Приложение 4'!F197</f>
        <v>457203.75</v>
      </c>
      <c r="H198" s="108">
        <f>'Приложение 4'!G197</f>
        <v>475491.9</v>
      </c>
      <c r="I198" s="108">
        <f>'Приложение 4'!H197</f>
        <v>475491.9</v>
      </c>
      <c r="J198" s="150"/>
      <c r="K198" s="150"/>
    </row>
    <row r="199" spans="1:9" s="151" customFormat="1" ht="33.75">
      <c r="A199" s="48" t="s">
        <v>187</v>
      </c>
      <c r="B199" s="101">
        <v>701</v>
      </c>
      <c r="C199" s="107" t="s">
        <v>353</v>
      </c>
      <c r="D199" s="107" t="s">
        <v>353</v>
      </c>
      <c r="E199" s="142" t="s">
        <v>237</v>
      </c>
      <c r="F199" s="98">
        <v>200</v>
      </c>
      <c r="G199" s="108">
        <f>'Приложение 4'!F198</f>
        <v>3727843.53</v>
      </c>
      <c r="H199" s="108">
        <f>'Приложение 4'!G198</f>
        <v>3865609.31</v>
      </c>
      <c r="I199" s="108">
        <f>'Приложение 4'!H198</f>
        <v>3865609.31</v>
      </c>
    </row>
    <row r="200" spans="1:9" s="151" customFormat="1" ht="16.5">
      <c r="A200" s="46" t="s">
        <v>188</v>
      </c>
      <c r="B200" s="101">
        <v>701</v>
      </c>
      <c r="C200" s="107" t="s">
        <v>353</v>
      </c>
      <c r="D200" s="107" t="s">
        <v>353</v>
      </c>
      <c r="E200" s="142" t="s">
        <v>237</v>
      </c>
      <c r="F200" s="98">
        <v>300</v>
      </c>
      <c r="G200" s="108">
        <f>'Приложение 4'!F199</f>
        <v>8780848.68</v>
      </c>
      <c r="H200" s="108">
        <f>'Приложение 4'!G199</f>
        <v>8948956.11</v>
      </c>
      <c r="I200" s="108">
        <f>'Приложение 4'!H199</f>
        <v>8948956.11</v>
      </c>
    </row>
    <row r="201" spans="1:9" s="151" customFormat="1" ht="33.75">
      <c r="A201" s="46" t="s">
        <v>238</v>
      </c>
      <c r="B201" s="101">
        <v>701</v>
      </c>
      <c r="C201" s="107" t="s">
        <v>353</v>
      </c>
      <c r="D201" s="107" t="s">
        <v>353</v>
      </c>
      <c r="E201" s="142" t="s">
        <v>239</v>
      </c>
      <c r="F201" s="98"/>
      <c r="G201" s="108">
        <f>G202+G203+G204+G205</f>
        <v>805810.48</v>
      </c>
      <c r="H201" s="108">
        <f>H202+H203+H204+H205</f>
        <v>829984.79</v>
      </c>
      <c r="I201" s="108">
        <f>I202+I203+I204+I205</f>
        <v>829984.79</v>
      </c>
    </row>
    <row r="202" spans="1:9" s="151" customFormat="1" ht="33.75">
      <c r="A202" s="48" t="s">
        <v>187</v>
      </c>
      <c r="B202" s="101">
        <v>701</v>
      </c>
      <c r="C202" s="107" t="s">
        <v>353</v>
      </c>
      <c r="D202" s="107" t="s">
        <v>353</v>
      </c>
      <c r="E202" s="142" t="s">
        <v>239</v>
      </c>
      <c r="F202" s="98">
        <v>200</v>
      </c>
      <c r="G202" s="108">
        <f>'Приложение 4'!F201</f>
        <v>264211.76</v>
      </c>
      <c r="H202" s="108">
        <f>'Приложение 4'!G201</f>
        <v>272138.11</v>
      </c>
      <c r="I202" s="108">
        <f>'Приложение 4'!H201</f>
        <v>272138.11</v>
      </c>
    </row>
    <row r="203" spans="1:9" s="151" customFormat="1" ht="16.5">
      <c r="A203" s="46" t="s">
        <v>188</v>
      </c>
      <c r="B203" s="101">
        <v>701</v>
      </c>
      <c r="C203" s="107" t="s">
        <v>353</v>
      </c>
      <c r="D203" s="107" t="s">
        <v>353</v>
      </c>
      <c r="E203" s="142" t="s">
        <v>239</v>
      </c>
      <c r="F203" s="98">
        <v>300</v>
      </c>
      <c r="G203" s="108">
        <f>'Приложение 4'!F202</f>
        <v>541598.72</v>
      </c>
      <c r="H203" s="108">
        <f>'Приложение 4'!G202</f>
        <v>186531.68</v>
      </c>
      <c r="I203" s="108">
        <f>'Приложение 4'!H202</f>
        <v>186531.68</v>
      </c>
    </row>
    <row r="204" spans="1:9" s="151" customFormat="1" ht="33.75">
      <c r="A204" s="46" t="s">
        <v>196</v>
      </c>
      <c r="B204" s="101">
        <v>701</v>
      </c>
      <c r="C204" s="107" t="s">
        <v>353</v>
      </c>
      <c r="D204" s="107" t="s">
        <v>353</v>
      </c>
      <c r="E204" s="142" t="s">
        <v>239</v>
      </c>
      <c r="F204" s="98">
        <v>600</v>
      </c>
      <c r="G204" s="108">
        <f>'Приложение 2'!D110</f>
        <v>0</v>
      </c>
      <c r="H204" s="108">
        <f>'Приложение 2'!E110</f>
        <v>371315</v>
      </c>
      <c r="I204" s="108">
        <f>'Приложение 2'!F110</f>
        <v>371315</v>
      </c>
    </row>
    <row r="205" spans="1:9" s="151" customFormat="1" ht="16.5">
      <c r="A205" s="46" t="s">
        <v>189</v>
      </c>
      <c r="B205" s="101">
        <v>701</v>
      </c>
      <c r="C205" s="107" t="s">
        <v>353</v>
      </c>
      <c r="D205" s="107" t="s">
        <v>353</v>
      </c>
      <c r="E205" s="142" t="s">
        <v>239</v>
      </c>
      <c r="F205" s="98">
        <v>800</v>
      </c>
      <c r="G205" s="108">
        <f>'[1]Приложение 2'!D106</f>
        <v>0</v>
      </c>
      <c r="H205" s="108">
        <f>'[1]Приложение 2'!E106</f>
        <v>0</v>
      </c>
      <c r="I205" s="108">
        <f>'[1]Приложение 2'!F106</f>
        <v>0</v>
      </c>
    </row>
    <row r="206" spans="1:9" s="151" customFormat="1" ht="33.75">
      <c r="A206" s="48" t="s">
        <v>405</v>
      </c>
      <c r="B206" s="101">
        <v>701</v>
      </c>
      <c r="C206" s="107" t="s">
        <v>353</v>
      </c>
      <c r="D206" s="107" t="s">
        <v>353</v>
      </c>
      <c r="E206" s="107" t="s">
        <v>243</v>
      </c>
      <c r="F206" s="107"/>
      <c r="G206" s="108">
        <f>G207</f>
        <v>1001293.89</v>
      </c>
      <c r="H206" s="108">
        <f>H207</f>
        <v>1033001.09</v>
      </c>
      <c r="I206" s="108">
        <f>I207</f>
        <v>1033001.09</v>
      </c>
    </row>
    <row r="207" spans="1:9" s="151" customFormat="1" ht="33.75">
      <c r="A207" s="48" t="s">
        <v>187</v>
      </c>
      <c r="B207" s="101">
        <v>701</v>
      </c>
      <c r="C207" s="107" t="s">
        <v>353</v>
      </c>
      <c r="D207" s="107" t="s">
        <v>353</v>
      </c>
      <c r="E207" s="107" t="s">
        <v>243</v>
      </c>
      <c r="F207" s="107" t="s">
        <v>244</v>
      </c>
      <c r="G207" s="108">
        <f>'Приложение 4'!F206</f>
        <v>1001293.89</v>
      </c>
      <c r="H207" s="108">
        <f>'Приложение 4'!G206</f>
        <v>1033001.09</v>
      </c>
      <c r="I207" s="108">
        <f>'Приложение 4'!H206</f>
        <v>1033001.09</v>
      </c>
    </row>
    <row r="208" spans="1:9" s="151" customFormat="1" ht="16.5">
      <c r="A208" s="66" t="s">
        <v>406</v>
      </c>
      <c r="B208" s="101">
        <v>701</v>
      </c>
      <c r="C208" s="105" t="s">
        <v>353</v>
      </c>
      <c r="D208" s="105" t="s">
        <v>353</v>
      </c>
      <c r="E208" s="141" t="s">
        <v>183</v>
      </c>
      <c r="F208" s="101"/>
      <c r="G208" s="106">
        <f>G209</f>
        <v>67920994</v>
      </c>
      <c r="H208" s="106">
        <f>H209</f>
        <v>53051757.85</v>
      </c>
      <c r="I208" s="106">
        <f>I209</f>
        <v>53051757.85</v>
      </c>
    </row>
    <row r="209" spans="1:9" s="151" customFormat="1" ht="16.5">
      <c r="A209" s="46" t="s">
        <v>199</v>
      </c>
      <c r="B209" s="101">
        <v>701</v>
      </c>
      <c r="C209" s="107" t="s">
        <v>353</v>
      </c>
      <c r="D209" s="107" t="s">
        <v>353</v>
      </c>
      <c r="E209" s="142" t="s">
        <v>200</v>
      </c>
      <c r="F209" s="98"/>
      <c r="G209" s="108">
        <f>SUM(G210:G214)</f>
        <v>67920994</v>
      </c>
      <c r="H209" s="108">
        <f>SUM(H210:H214)</f>
        <v>53051757.85</v>
      </c>
      <c r="I209" s="108">
        <f>SUM(I210:I214)</f>
        <v>53051757.85</v>
      </c>
    </row>
    <row r="210" spans="1:9" s="151" customFormat="1" ht="67.5">
      <c r="A210" s="46" t="s">
        <v>186</v>
      </c>
      <c r="B210" s="101">
        <v>701</v>
      </c>
      <c r="C210" s="107" t="s">
        <v>353</v>
      </c>
      <c r="D210" s="107" t="s">
        <v>353</v>
      </c>
      <c r="E210" s="142" t="s">
        <v>200</v>
      </c>
      <c r="F210" s="98">
        <v>100</v>
      </c>
      <c r="G210" s="108">
        <f>'Приложение 4'!F209</f>
        <v>14767316</v>
      </c>
      <c r="H210" s="108">
        <f>'Приложение 4'!G209</f>
        <v>0</v>
      </c>
      <c r="I210" s="108">
        <f>'Приложение 4'!H209</f>
        <v>0</v>
      </c>
    </row>
    <row r="211" spans="1:9" s="151" customFormat="1" ht="33.75">
      <c r="A211" s="48" t="s">
        <v>187</v>
      </c>
      <c r="B211" s="101">
        <v>701</v>
      </c>
      <c r="C211" s="107" t="s">
        <v>353</v>
      </c>
      <c r="D211" s="107" t="s">
        <v>353</v>
      </c>
      <c r="E211" s="142" t="s">
        <v>200</v>
      </c>
      <c r="F211" s="98">
        <v>200</v>
      </c>
      <c r="G211" s="108">
        <f>'Приложение 4'!F210</f>
        <v>22148784.67</v>
      </c>
      <c r="H211" s="108">
        <f>'Приложение 4'!G210</f>
        <v>0</v>
      </c>
      <c r="I211" s="108">
        <f>'Приложение 4'!H210</f>
        <v>0</v>
      </c>
    </row>
    <row r="212" spans="1:9" s="151" customFormat="1" ht="16.5" hidden="1">
      <c r="A212" s="48" t="s">
        <v>188</v>
      </c>
      <c r="B212" s="101">
        <v>701</v>
      </c>
      <c r="C212" s="107" t="s">
        <v>353</v>
      </c>
      <c r="D212" s="107" t="s">
        <v>353</v>
      </c>
      <c r="E212" s="142" t="s">
        <v>200</v>
      </c>
      <c r="F212" s="98">
        <v>300</v>
      </c>
      <c r="G212" s="108"/>
      <c r="H212" s="108"/>
      <c r="I212" s="108"/>
    </row>
    <row r="213" spans="1:9" s="151" customFormat="1" ht="33.75">
      <c r="A213" s="46" t="s">
        <v>196</v>
      </c>
      <c r="B213" s="101">
        <v>701</v>
      </c>
      <c r="C213" s="107" t="s">
        <v>353</v>
      </c>
      <c r="D213" s="107" t="s">
        <v>353</v>
      </c>
      <c r="E213" s="142" t="s">
        <v>200</v>
      </c>
      <c r="F213" s="98">
        <v>600</v>
      </c>
      <c r="G213" s="108">
        <f>'Приложение 4'!F212</f>
        <v>31004893.33</v>
      </c>
      <c r="H213" s="108">
        <f>'Приложение 4'!G212</f>
        <v>14026991.85</v>
      </c>
      <c r="I213" s="108">
        <f>'Приложение 4'!H212</f>
        <v>14026991.85</v>
      </c>
    </row>
    <row r="214" spans="1:9" s="151" customFormat="1" ht="16.5">
      <c r="A214" s="46" t="s">
        <v>189</v>
      </c>
      <c r="B214" s="101">
        <v>701</v>
      </c>
      <c r="C214" s="107" t="s">
        <v>353</v>
      </c>
      <c r="D214" s="107" t="s">
        <v>353</v>
      </c>
      <c r="E214" s="142" t="s">
        <v>200</v>
      </c>
      <c r="F214" s="98">
        <v>800</v>
      </c>
      <c r="G214" s="108">
        <f>'Приложение 4'!F213</f>
        <v>0</v>
      </c>
      <c r="H214" s="108">
        <f>'Приложение 4'!G213</f>
        <v>39024766</v>
      </c>
      <c r="I214" s="108">
        <f>'Приложение 4'!H213</f>
        <v>39024766</v>
      </c>
    </row>
    <row r="215" spans="1:9" s="152" customFormat="1" ht="16.5">
      <c r="A215" s="66" t="s">
        <v>357</v>
      </c>
      <c r="B215" s="101">
        <v>701</v>
      </c>
      <c r="C215" s="105" t="s">
        <v>353</v>
      </c>
      <c r="D215" s="105" t="s">
        <v>358</v>
      </c>
      <c r="E215" s="101"/>
      <c r="F215" s="101"/>
      <c r="G215" s="106">
        <f>G216+G222</f>
        <v>80628461.64</v>
      </c>
      <c r="H215" s="106">
        <f>H216</f>
        <v>83274533</v>
      </c>
      <c r="I215" s="106">
        <f>I216</f>
        <v>83274533</v>
      </c>
    </row>
    <row r="216" spans="1:9" s="152" customFormat="1" ht="16.5">
      <c r="A216" s="66" t="s">
        <v>182</v>
      </c>
      <c r="B216" s="101">
        <v>701</v>
      </c>
      <c r="C216" s="105" t="s">
        <v>353</v>
      </c>
      <c r="D216" s="105" t="s">
        <v>358</v>
      </c>
      <c r="E216" s="141" t="s">
        <v>183</v>
      </c>
      <c r="F216" s="101"/>
      <c r="G216" s="106">
        <f>G217</f>
        <v>80628461.64</v>
      </c>
      <c r="H216" s="106">
        <f>H217</f>
        <v>83274533</v>
      </c>
      <c r="I216" s="106">
        <f>I217</f>
        <v>83274533</v>
      </c>
    </row>
    <row r="217" spans="1:9" s="152" customFormat="1" ht="16.5">
      <c r="A217" s="46" t="s">
        <v>407</v>
      </c>
      <c r="B217" s="101">
        <v>701</v>
      </c>
      <c r="C217" s="107" t="s">
        <v>353</v>
      </c>
      <c r="D217" s="107" t="s">
        <v>358</v>
      </c>
      <c r="E217" s="142" t="s">
        <v>185</v>
      </c>
      <c r="F217" s="98"/>
      <c r="G217" s="108">
        <f>SUM(G218:G221)</f>
        <v>80628461.64</v>
      </c>
      <c r="H217" s="108">
        <f>SUM(H218:H221)</f>
        <v>83274533</v>
      </c>
      <c r="I217" s="108">
        <f>SUM(I218:I221)</f>
        <v>83274533</v>
      </c>
    </row>
    <row r="218" spans="1:9" s="152" customFormat="1" ht="67.5">
      <c r="A218" s="46" t="s">
        <v>186</v>
      </c>
      <c r="B218" s="101">
        <v>701</v>
      </c>
      <c r="C218" s="107" t="s">
        <v>353</v>
      </c>
      <c r="D218" s="107" t="s">
        <v>358</v>
      </c>
      <c r="E218" s="142" t="s">
        <v>185</v>
      </c>
      <c r="F218" s="98">
        <v>100</v>
      </c>
      <c r="G218" s="137">
        <f>'Приложение 4'!F217</f>
        <v>51691348</v>
      </c>
      <c r="H218" s="137">
        <f>'Приложение 4'!G217</f>
        <v>51577456</v>
      </c>
      <c r="I218" s="137">
        <f>'Приложение 4'!H217</f>
        <v>51577456</v>
      </c>
    </row>
    <row r="219" spans="1:9" s="152" customFormat="1" ht="33.75">
      <c r="A219" s="48" t="s">
        <v>187</v>
      </c>
      <c r="B219" s="101">
        <v>701</v>
      </c>
      <c r="C219" s="107" t="s">
        <v>353</v>
      </c>
      <c r="D219" s="107" t="s">
        <v>358</v>
      </c>
      <c r="E219" s="142" t="s">
        <v>185</v>
      </c>
      <c r="F219" s="98">
        <v>200</v>
      </c>
      <c r="G219" s="137">
        <f>'Приложение 4'!F218</f>
        <v>9979362.94</v>
      </c>
      <c r="H219" s="137">
        <f>'Приложение 4'!G218</f>
        <v>11142077</v>
      </c>
      <c r="I219" s="137">
        <f>'Приложение 4'!H218</f>
        <v>11142077</v>
      </c>
    </row>
    <row r="220" spans="1:9" s="153" customFormat="1" ht="16.5">
      <c r="A220" s="46" t="s">
        <v>188</v>
      </c>
      <c r="B220" s="101">
        <v>701</v>
      </c>
      <c r="C220" s="107" t="s">
        <v>353</v>
      </c>
      <c r="D220" s="107" t="s">
        <v>358</v>
      </c>
      <c r="E220" s="142" t="s">
        <v>185</v>
      </c>
      <c r="F220" s="98">
        <v>300</v>
      </c>
      <c r="G220" s="137">
        <f>'Приложение 4'!F219</f>
        <v>18957750.7</v>
      </c>
      <c r="H220" s="137">
        <f>'Приложение 4'!G219</f>
        <v>16555000</v>
      </c>
      <c r="I220" s="137">
        <f>'Приложение 4'!H219</f>
        <v>16555000</v>
      </c>
    </row>
    <row r="221" spans="1:9" s="153" customFormat="1" ht="16.5">
      <c r="A221" s="46" t="s">
        <v>189</v>
      </c>
      <c r="B221" s="101">
        <v>701</v>
      </c>
      <c r="C221" s="107" t="s">
        <v>353</v>
      </c>
      <c r="D221" s="107" t="s">
        <v>358</v>
      </c>
      <c r="E221" s="142" t="s">
        <v>185</v>
      </c>
      <c r="F221" s="98">
        <v>800</v>
      </c>
      <c r="G221" s="137">
        <f>'Приложение 4'!F220</f>
        <v>0</v>
      </c>
      <c r="H221" s="137">
        <f>'Приложение 4'!G220</f>
        <v>4000000</v>
      </c>
      <c r="I221" s="137">
        <f>'Приложение 4'!H220</f>
        <v>4000000</v>
      </c>
    </row>
    <row r="222" spans="1:9" s="153" customFormat="1" ht="16.5" hidden="1">
      <c r="A222" s="70" t="s">
        <v>302</v>
      </c>
      <c r="B222" s="101">
        <v>701</v>
      </c>
      <c r="C222" s="107" t="s">
        <v>353</v>
      </c>
      <c r="D222" s="107" t="s">
        <v>358</v>
      </c>
      <c r="E222" s="113" t="s">
        <v>303</v>
      </c>
      <c r="F222" s="101"/>
      <c r="G222" s="137">
        <f aca="true" t="shared" si="18" ref="G222:I223">G223</f>
        <v>0</v>
      </c>
      <c r="H222" s="137">
        <f t="shared" si="18"/>
        <v>0</v>
      </c>
      <c r="I222" s="137">
        <f t="shared" si="18"/>
        <v>0</v>
      </c>
    </row>
    <row r="223" spans="1:9" s="153" customFormat="1" ht="16.5" hidden="1">
      <c r="A223" s="48" t="s">
        <v>322</v>
      </c>
      <c r="B223" s="101">
        <v>701</v>
      </c>
      <c r="C223" s="107" t="s">
        <v>353</v>
      </c>
      <c r="D223" s="107" t="s">
        <v>358</v>
      </c>
      <c r="E223" s="112" t="s">
        <v>323</v>
      </c>
      <c r="F223" s="98"/>
      <c r="G223" s="137">
        <f t="shared" si="18"/>
        <v>0</v>
      </c>
      <c r="H223" s="137">
        <f t="shared" si="18"/>
        <v>0</v>
      </c>
      <c r="I223" s="137">
        <f t="shared" si="18"/>
        <v>0</v>
      </c>
    </row>
    <row r="224" spans="1:9" s="153" customFormat="1" ht="33.75" hidden="1">
      <c r="A224" s="48" t="s">
        <v>187</v>
      </c>
      <c r="B224" s="101">
        <v>701</v>
      </c>
      <c r="C224" s="107" t="s">
        <v>353</v>
      </c>
      <c r="D224" s="107" t="s">
        <v>358</v>
      </c>
      <c r="E224" s="112" t="s">
        <v>323</v>
      </c>
      <c r="F224" s="98">
        <v>200</v>
      </c>
      <c r="G224" s="137">
        <v>0</v>
      </c>
      <c r="H224" s="137">
        <v>0</v>
      </c>
      <c r="I224" s="137">
        <v>0</v>
      </c>
    </row>
    <row r="225" spans="1:9" s="152" customFormat="1" ht="16.5">
      <c r="A225" s="66" t="s">
        <v>359</v>
      </c>
      <c r="B225" s="101">
        <v>701</v>
      </c>
      <c r="C225" s="105" t="s">
        <v>360</v>
      </c>
      <c r="D225" s="105"/>
      <c r="E225" s="101"/>
      <c r="F225" s="101"/>
      <c r="G225" s="106">
        <f>G226+G250</f>
        <v>144513697.06</v>
      </c>
      <c r="H225" s="106">
        <f>H226+H250</f>
        <v>140336400</v>
      </c>
      <c r="I225" s="106">
        <f>I226+I250</f>
        <v>140336400</v>
      </c>
    </row>
    <row r="226" spans="1:9" s="152" customFormat="1" ht="16.5">
      <c r="A226" s="66" t="s">
        <v>361</v>
      </c>
      <c r="B226" s="101">
        <v>701</v>
      </c>
      <c r="C226" s="105" t="s">
        <v>360</v>
      </c>
      <c r="D226" s="105" t="s">
        <v>299</v>
      </c>
      <c r="E226" s="101"/>
      <c r="F226" s="101"/>
      <c r="G226" s="106">
        <f>G227+G244+G247</f>
        <v>104699698.59</v>
      </c>
      <c r="H226" s="106">
        <f>H227+H244+H247</f>
        <v>110420700</v>
      </c>
      <c r="I226" s="106">
        <f>I227+I244+I247</f>
        <v>110420700</v>
      </c>
    </row>
    <row r="227" spans="1:9" s="153" customFormat="1" ht="16.5">
      <c r="A227" s="66" t="s">
        <v>201</v>
      </c>
      <c r="B227" s="101">
        <v>701</v>
      </c>
      <c r="C227" s="105" t="s">
        <v>360</v>
      </c>
      <c r="D227" s="105" t="s">
        <v>299</v>
      </c>
      <c r="E227" s="141" t="s">
        <v>202</v>
      </c>
      <c r="F227" s="101"/>
      <c r="G227" s="106">
        <f>G228+G231+G242</f>
        <v>103482417.59</v>
      </c>
      <c r="H227" s="106">
        <f>H228+H231+H242</f>
        <v>109520700</v>
      </c>
      <c r="I227" s="106">
        <f>I228+I231+I242</f>
        <v>109520700</v>
      </c>
    </row>
    <row r="228" spans="1:9" s="153" customFormat="1" ht="16.5">
      <c r="A228" s="46" t="s">
        <v>204</v>
      </c>
      <c r="B228" s="101">
        <v>701</v>
      </c>
      <c r="C228" s="107" t="s">
        <v>360</v>
      </c>
      <c r="D228" s="107" t="s">
        <v>299</v>
      </c>
      <c r="E228" s="142" t="s">
        <v>205</v>
      </c>
      <c r="F228" s="98"/>
      <c r="G228" s="108">
        <f>SUM(G229:G230)</f>
        <v>2248800</v>
      </c>
      <c r="H228" s="108">
        <f>SUM(H229:H230)</f>
        <v>2480300</v>
      </c>
      <c r="I228" s="108">
        <f>SUM(I229:I230)</f>
        <v>2480300</v>
      </c>
    </row>
    <row r="229" spans="1:9" s="152" customFormat="1" ht="33.75">
      <c r="A229" s="48" t="s">
        <v>187</v>
      </c>
      <c r="B229" s="101">
        <v>701</v>
      </c>
      <c r="C229" s="107" t="s">
        <v>360</v>
      </c>
      <c r="D229" s="107" t="s">
        <v>299</v>
      </c>
      <c r="E229" s="142" t="s">
        <v>205</v>
      </c>
      <c r="F229" s="98">
        <v>200</v>
      </c>
      <c r="G229" s="108">
        <f>'Приложение 4'!F228</f>
        <v>2238800</v>
      </c>
      <c r="H229" s="108">
        <f>'Приложение 4'!G228</f>
        <v>2470300</v>
      </c>
      <c r="I229" s="108">
        <f>'Приложение 4'!H228</f>
        <v>2470300</v>
      </c>
    </row>
    <row r="230" spans="1:9" s="153" customFormat="1" ht="16.5">
      <c r="A230" s="46" t="s">
        <v>189</v>
      </c>
      <c r="B230" s="101">
        <v>701</v>
      </c>
      <c r="C230" s="107" t="s">
        <v>360</v>
      </c>
      <c r="D230" s="107" t="s">
        <v>299</v>
      </c>
      <c r="E230" s="142" t="s">
        <v>205</v>
      </c>
      <c r="F230" s="98">
        <v>800</v>
      </c>
      <c r="G230" s="108">
        <f>'Приложение 4'!F229</f>
        <v>10000</v>
      </c>
      <c r="H230" s="108">
        <f>'Приложение 4'!G229</f>
        <v>10000</v>
      </c>
      <c r="I230" s="108">
        <f>'Приложение 4'!H229</f>
        <v>10000</v>
      </c>
    </row>
    <row r="231" spans="1:9" s="153" customFormat="1" ht="51">
      <c r="A231" s="154" t="s">
        <v>408</v>
      </c>
      <c r="B231" s="101">
        <v>701</v>
      </c>
      <c r="C231" s="107" t="s">
        <v>360</v>
      </c>
      <c r="D231" s="107" t="s">
        <v>299</v>
      </c>
      <c r="E231" s="142" t="s">
        <v>207</v>
      </c>
      <c r="F231" s="98"/>
      <c r="G231" s="108">
        <f>G232+G237</f>
        <v>101233617.59</v>
      </c>
      <c r="H231" s="108">
        <f>H232+H237</f>
        <v>107040400</v>
      </c>
      <c r="I231" s="108">
        <f>I232+I237</f>
        <v>107040400</v>
      </c>
    </row>
    <row r="232" spans="1:9" s="153" customFormat="1" ht="16.5">
      <c r="A232" s="155" t="s">
        <v>632</v>
      </c>
      <c r="B232" s="101">
        <v>701</v>
      </c>
      <c r="C232" s="107" t="s">
        <v>360</v>
      </c>
      <c r="D232" s="107" t="s">
        <v>299</v>
      </c>
      <c r="E232" s="142" t="s">
        <v>289</v>
      </c>
      <c r="F232" s="98"/>
      <c r="G232" s="108">
        <f>SUM(G233:G236)</f>
        <v>79622317.59</v>
      </c>
      <c r="H232" s="108">
        <f>SUM(H233:H236)</f>
        <v>83746900</v>
      </c>
      <c r="I232" s="108">
        <f>SUM(I233:I236)</f>
        <v>83746900</v>
      </c>
    </row>
    <row r="233" spans="1:9" s="153" customFormat="1" ht="67.5">
      <c r="A233" s="46" t="s">
        <v>186</v>
      </c>
      <c r="B233" s="101">
        <v>701</v>
      </c>
      <c r="C233" s="107" t="s">
        <v>360</v>
      </c>
      <c r="D233" s="107" t="s">
        <v>299</v>
      </c>
      <c r="E233" s="142" t="s">
        <v>289</v>
      </c>
      <c r="F233" s="98">
        <v>100</v>
      </c>
      <c r="G233" s="137">
        <f>'Приложение 4'!F232</f>
        <v>62881475.59</v>
      </c>
      <c r="H233" s="137">
        <f>'Приложение 4'!G232</f>
        <v>63476900</v>
      </c>
      <c r="I233" s="137">
        <f>'Приложение 4'!H232</f>
        <v>63476900</v>
      </c>
    </row>
    <row r="234" spans="1:9" s="153" customFormat="1" ht="33.75">
      <c r="A234" s="48" t="s">
        <v>187</v>
      </c>
      <c r="B234" s="101">
        <v>701</v>
      </c>
      <c r="C234" s="107" t="s">
        <v>360</v>
      </c>
      <c r="D234" s="107" t="s">
        <v>299</v>
      </c>
      <c r="E234" s="142" t="s">
        <v>289</v>
      </c>
      <c r="F234" s="98">
        <v>200</v>
      </c>
      <c r="G234" s="137">
        <f>'Приложение 4'!F233</f>
        <v>15926742</v>
      </c>
      <c r="H234" s="137">
        <f>'Приложение 4'!G233</f>
        <v>19748900</v>
      </c>
      <c r="I234" s="137">
        <f>'Приложение 4'!H233</f>
        <v>19748900</v>
      </c>
    </row>
    <row r="235" spans="1:9" s="153" customFormat="1" ht="16.5">
      <c r="A235" s="46" t="s">
        <v>188</v>
      </c>
      <c r="B235" s="101">
        <v>701</v>
      </c>
      <c r="C235" s="107" t="s">
        <v>360</v>
      </c>
      <c r="D235" s="107" t="s">
        <v>299</v>
      </c>
      <c r="E235" s="142" t="s">
        <v>289</v>
      </c>
      <c r="F235" s="98">
        <v>300</v>
      </c>
      <c r="G235" s="137">
        <f>'Приложение 4'!F234</f>
        <v>50000</v>
      </c>
      <c r="H235" s="137">
        <f>'Приложение 4'!G234</f>
        <v>0</v>
      </c>
      <c r="I235" s="137">
        <f>'Приложение 4'!H234</f>
        <v>0</v>
      </c>
    </row>
    <row r="236" spans="1:9" s="153" customFormat="1" ht="16.5">
      <c r="A236" s="46" t="s">
        <v>189</v>
      </c>
      <c r="B236" s="101">
        <v>701</v>
      </c>
      <c r="C236" s="107" t="s">
        <v>360</v>
      </c>
      <c r="D236" s="107" t="s">
        <v>299</v>
      </c>
      <c r="E236" s="142" t="s">
        <v>289</v>
      </c>
      <c r="F236" s="98">
        <v>800</v>
      </c>
      <c r="G236" s="137">
        <f>'Приложение 4'!F235</f>
        <v>764100</v>
      </c>
      <c r="H236" s="137">
        <f>'Приложение 4'!G235</f>
        <v>521100</v>
      </c>
      <c r="I236" s="137">
        <f>'Приложение 4'!H235</f>
        <v>521100</v>
      </c>
    </row>
    <row r="237" spans="1:9" s="153" customFormat="1" ht="16.5">
      <c r="A237" s="46" t="s">
        <v>633</v>
      </c>
      <c r="B237" s="101">
        <v>701</v>
      </c>
      <c r="C237" s="107" t="s">
        <v>360</v>
      </c>
      <c r="D237" s="107" t="s">
        <v>299</v>
      </c>
      <c r="E237" s="142" t="s">
        <v>290</v>
      </c>
      <c r="F237" s="98"/>
      <c r="G237" s="137">
        <f>SUM(G238:G241)</f>
        <v>21611300</v>
      </c>
      <c r="H237" s="137">
        <f>SUM(H238:H241)</f>
        <v>23293500</v>
      </c>
      <c r="I237" s="137">
        <f>SUM(I238:I241)</f>
        <v>23293500</v>
      </c>
    </row>
    <row r="238" spans="1:9" s="153" customFormat="1" ht="67.5">
      <c r="A238" s="46" t="s">
        <v>186</v>
      </c>
      <c r="B238" s="101">
        <v>701</v>
      </c>
      <c r="C238" s="107" t="s">
        <v>360</v>
      </c>
      <c r="D238" s="107" t="s">
        <v>299</v>
      </c>
      <c r="E238" s="142" t="s">
        <v>290</v>
      </c>
      <c r="F238" s="98">
        <v>100</v>
      </c>
      <c r="G238" s="137">
        <f>'Приложение 4'!F237</f>
        <v>19983700</v>
      </c>
      <c r="H238" s="137">
        <f>'Приложение 4'!G237</f>
        <v>20169700</v>
      </c>
      <c r="I238" s="137">
        <f>'Приложение 4'!H237</f>
        <v>20169700</v>
      </c>
    </row>
    <row r="239" spans="1:9" s="153" customFormat="1" ht="33.75">
      <c r="A239" s="48" t="s">
        <v>187</v>
      </c>
      <c r="B239" s="101">
        <v>701</v>
      </c>
      <c r="C239" s="107" t="s">
        <v>360</v>
      </c>
      <c r="D239" s="107" t="s">
        <v>299</v>
      </c>
      <c r="E239" s="142" t="s">
        <v>290</v>
      </c>
      <c r="F239" s="98">
        <v>200</v>
      </c>
      <c r="G239" s="137">
        <f>'Приложение 4'!F238</f>
        <v>1354000</v>
      </c>
      <c r="H239" s="137">
        <f>'Приложение 4'!G238</f>
        <v>3036200</v>
      </c>
      <c r="I239" s="137">
        <f>'Приложение 4'!H238</f>
        <v>3036200</v>
      </c>
    </row>
    <row r="240" spans="1:9" s="153" customFormat="1" ht="16.5">
      <c r="A240" s="48" t="s">
        <v>188</v>
      </c>
      <c r="B240" s="101">
        <v>701</v>
      </c>
      <c r="C240" s="107" t="s">
        <v>360</v>
      </c>
      <c r="D240" s="107" t="s">
        <v>299</v>
      </c>
      <c r="E240" s="142" t="s">
        <v>290</v>
      </c>
      <c r="F240" s="98">
        <v>300</v>
      </c>
      <c r="G240" s="137">
        <f>'Приложение 4'!F239</f>
        <v>186000</v>
      </c>
      <c r="H240" s="137">
        <f>'Приложение 4'!G239</f>
        <v>0</v>
      </c>
      <c r="I240" s="137">
        <f>'Приложение 4'!H239</f>
        <v>0</v>
      </c>
    </row>
    <row r="241" spans="1:9" s="153" customFormat="1" ht="16.5">
      <c r="A241" s="46" t="s">
        <v>189</v>
      </c>
      <c r="B241" s="101">
        <v>701</v>
      </c>
      <c r="C241" s="107" t="s">
        <v>360</v>
      </c>
      <c r="D241" s="107" t="s">
        <v>299</v>
      </c>
      <c r="E241" s="142" t="s">
        <v>290</v>
      </c>
      <c r="F241" s="98">
        <v>800</v>
      </c>
      <c r="G241" s="137">
        <f>'Приложение 4'!F240</f>
        <v>87600</v>
      </c>
      <c r="H241" s="137">
        <f>'Приложение 4'!G240</f>
        <v>87600</v>
      </c>
      <c r="I241" s="137">
        <f>'Приложение 4'!H240</f>
        <v>87600</v>
      </c>
    </row>
    <row r="242" spans="1:9" s="152" customFormat="1" ht="33.75" hidden="1">
      <c r="A242" s="67" t="s">
        <v>210</v>
      </c>
      <c r="B242" s="101">
        <v>701</v>
      </c>
      <c r="C242" s="105" t="s">
        <v>360</v>
      </c>
      <c r="D242" s="105" t="s">
        <v>299</v>
      </c>
      <c r="E242" s="141" t="s">
        <v>211</v>
      </c>
      <c r="F242" s="101"/>
      <c r="G242" s="156">
        <f>G243</f>
        <v>0</v>
      </c>
      <c r="H242" s="156">
        <f>H243</f>
        <v>0</v>
      </c>
      <c r="I242" s="156">
        <f>I243</f>
        <v>0</v>
      </c>
    </row>
    <row r="243" spans="1:9" s="153" customFormat="1" ht="33.75" hidden="1">
      <c r="A243" s="46" t="s">
        <v>212</v>
      </c>
      <c r="B243" s="101">
        <v>701</v>
      </c>
      <c r="C243" s="107" t="s">
        <v>360</v>
      </c>
      <c r="D243" s="107" t="s">
        <v>299</v>
      </c>
      <c r="E243" s="142" t="s">
        <v>211</v>
      </c>
      <c r="F243" s="98">
        <v>400</v>
      </c>
      <c r="G243" s="137">
        <v>0</v>
      </c>
      <c r="H243" s="137">
        <v>0</v>
      </c>
      <c r="I243" s="137">
        <v>0</v>
      </c>
    </row>
    <row r="244" spans="1:9" s="153" customFormat="1" ht="33.75">
      <c r="A244" s="66" t="s">
        <v>285</v>
      </c>
      <c r="B244" s="101">
        <v>701</v>
      </c>
      <c r="C244" s="107" t="s">
        <v>360</v>
      </c>
      <c r="D244" s="107" t="s">
        <v>299</v>
      </c>
      <c r="E244" s="141" t="s">
        <v>409</v>
      </c>
      <c r="F244" s="101"/>
      <c r="G244" s="156">
        <f aca="true" t="shared" si="19" ref="G244:I245">G245</f>
        <v>1217281</v>
      </c>
      <c r="H244" s="156">
        <f t="shared" si="19"/>
        <v>0</v>
      </c>
      <c r="I244" s="156">
        <f t="shared" si="19"/>
        <v>0</v>
      </c>
    </row>
    <row r="245" spans="1:9" s="153" customFormat="1" ht="33.75">
      <c r="A245" s="66" t="s">
        <v>286</v>
      </c>
      <c r="B245" s="101">
        <v>701</v>
      </c>
      <c r="C245" s="107" t="s">
        <v>360</v>
      </c>
      <c r="D245" s="107" t="s">
        <v>299</v>
      </c>
      <c r="E245" s="141" t="s">
        <v>410</v>
      </c>
      <c r="F245" s="101"/>
      <c r="G245" s="156">
        <f t="shared" si="19"/>
        <v>1217281</v>
      </c>
      <c r="H245" s="156">
        <f t="shared" si="19"/>
        <v>0</v>
      </c>
      <c r="I245" s="156">
        <f t="shared" si="19"/>
        <v>0</v>
      </c>
    </row>
    <row r="246" spans="1:9" s="153" customFormat="1" ht="33.75">
      <c r="A246" s="46" t="s">
        <v>212</v>
      </c>
      <c r="B246" s="101">
        <v>701</v>
      </c>
      <c r="C246" s="107" t="s">
        <v>360</v>
      </c>
      <c r="D246" s="107" t="s">
        <v>299</v>
      </c>
      <c r="E246" s="142" t="s">
        <v>410</v>
      </c>
      <c r="F246" s="98">
        <v>400</v>
      </c>
      <c r="G246" s="137">
        <f>'Приложение 2'!D176</f>
        <v>1217281</v>
      </c>
      <c r="H246" s="137">
        <f>'Приложение 2'!E176</f>
        <v>0</v>
      </c>
      <c r="I246" s="137">
        <f>'Приложение 2'!F176</f>
        <v>0</v>
      </c>
    </row>
    <row r="247" spans="1:9" s="152" customFormat="1" ht="16.5">
      <c r="A247" s="70" t="s">
        <v>302</v>
      </c>
      <c r="B247" s="101">
        <v>701</v>
      </c>
      <c r="C247" s="105" t="s">
        <v>360</v>
      </c>
      <c r="D247" s="105" t="s">
        <v>299</v>
      </c>
      <c r="E247" s="105" t="s">
        <v>303</v>
      </c>
      <c r="F247" s="101"/>
      <c r="G247" s="156">
        <f aca="true" t="shared" si="20" ref="G247:I248">G248</f>
        <v>0</v>
      </c>
      <c r="H247" s="156">
        <f t="shared" si="20"/>
        <v>900000</v>
      </c>
      <c r="I247" s="156">
        <f t="shared" si="20"/>
        <v>900000</v>
      </c>
    </row>
    <row r="248" spans="1:9" s="153" customFormat="1" ht="16.5">
      <c r="A248" s="48" t="s">
        <v>322</v>
      </c>
      <c r="B248" s="101">
        <v>701</v>
      </c>
      <c r="C248" s="107" t="s">
        <v>360</v>
      </c>
      <c r="D248" s="107" t="s">
        <v>299</v>
      </c>
      <c r="E248" s="107" t="s">
        <v>323</v>
      </c>
      <c r="F248" s="98"/>
      <c r="G248" s="137">
        <f t="shared" si="20"/>
        <v>0</v>
      </c>
      <c r="H248" s="137">
        <f t="shared" si="20"/>
        <v>900000</v>
      </c>
      <c r="I248" s="137">
        <f t="shared" si="20"/>
        <v>900000</v>
      </c>
    </row>
    <row r="249" spans="1:9" s="153" customFormat="1" ht="33.75">
      <c r="A249" s="48" t="s">
        <v>187</v>
      </c>
      <c r="B249" s="101">
        <v>701</v>
      </c>
      <c r="C249" s="107" t="s">
        <v>360</v>
      </c>
      <c r="D249" s="107" t="s">
        <v>299</v>
      </c>
      <c r="E249" s="107" t="s">
        <v>323</v>
      </c>
      <c r="F249" s="98">
        <v>200</v>
      </c>
      <c r="G249" s="137">
        <f>'Приложение 4'!F248</f>
        <v>0</v>
      </c>
      <c r="H249" s="137">
        <f>'Приложение 4'!G248</f>
        <v>900000</v>
      </c>
      <c r="I249" s="137">
        <f>'Приложение 4'!H248</f>
        <v>900000</v>
      </c>
    </row>
    <row r="250" spans="1:9" s="152" customFormat="1" ht="16.5">
      <c r="A250" s="66" t="s">
        <v>411</v>
      </c>
      <c r="B250" s="101">
        <v>701</v>
      </c>
      <c r="C250" s="105" t="s">
        <v>360</v>
      </c>
      <c r="D250" s="105" t="s">
        <v>313</v>
      </c>
      <c r="E250" s="101"/>
      <c r="F250" s="101"/>
      <c r="G250" s="106">
        <f aca="true" t="shared" si="21" ref="G250:I251">G251</f>
        <v>39813998.47</v>
      </c>
      <c r="H250" s="106">
        <f t="shared" si="21"/>
        <v>29915700</v>
      </c>
      <c r="I250" s="106">
        <f t="shared" si="21"/>
        <v>29915700</v>
      </c>
    </row>
    <row r="251" spans="1:9" s="153" customFormat="1" ht="16.5">
      <c r="A251" s="66" t="s">
        <v>201</v>
      </c>
      <c r="B251" s="101">
        <v>701</v>
      </c>
      <c r="C251" s="105" t="s">
        <v>360</v>
      </c>
      <c r="D251" s="105" t="s">
        <v>313</v>
      </c>
      <c r="E251" s="141" t="s">
        <v>202</v>
      </c>
      <c r="F251" s="101"/>
      <c r="G251" s="108">
        <f t="shared" si="21"/>
        <v>39813998.47</v>
      </c>
      <c r="H251" s="108">
        <f t="shared" si="21"/>
        <v>29915700</v>
      </c>
      <c r="I251" s="108">
        <f t="shared" si="21"/>
        <v>29915700</v>
      </c>
    </row>
    <row r="252" spans="1:9" s="153" customFormat="1" ht="16.5">
      <c r="A252" s="46" t="s">
        <v>184</v>
      </c>
      <c r="B252" s="101">
        <v>701</v>
      </c>
      <c r="C252" s="107" t="s">
        <v>360</v>
      </c>
      <c r="D252" s="107" t="s">
        <v>313</v>
      </c>
      <c r="E252" s="142" t="s">
        <v>203</v>
      </c>
      <c r="F252" s="98"/>
      <c r="G252" s="108">
        <f>G253+G254+G256+G255</f>
        <v>39813998.47</v>
      </c>
      <c r="H252" s="108">
        <f>H253+H254+H256+H255</f>
        <v>29915700</v>
      </c>
      <c r="I252" s="108">
        <f>I253+I254+I256+I255</f>
        <v>29915700</v>
      </c>
    </row>
    <row r="253" spans="1:9" s="152" customFormat="1" ht="67.5">
      <c r="A253" s="46" t="s">
        <v>186</v>
      </c>
      <c r="B253" s="101">
        <v>701</v>
      </c>
      <c r="C253" s="107" t="s">
        <v>360</v>
      </c>
      <c r="D253" s="107" t="s">
        <v>313</v>
      </c>
      <c r="E253" s="142" t="s">
        <v>203</v>
      </c>
      <c r="F253" s="98">
        <v>100</v>
      </c>
      <c r="G253" s="109">
        <f>'Приложение 4'!F252</f>
        <v>22877053.56</v>
      </c>
      <c r="H253" s="109">
        <f>'Приложение 4'!G252</f>
        <v>22773700</v>
      </c>
      <c r="I253" s="109">
        <f>'Приложение 4'!H252</f>
        <v>22773700</v>
      </c>
    </row>
    <row r="254" spans="1:9" s="157" customFormat="1" ht="33.75">
      <c r="A254" s="48" t="s">
        <v>187</v>
      </c>
      <c r="B254" s="101">
        <v>701</v>
      </c>
      <c r="C254" s="107" t="s">
        <v>360</v>
      </c>
      <c r="D254" s="107" t="s">
        <v>313</v>
      </c>
      <c r="E254" s="142" t="s">
        <v>203</v>
      </c>
      <c r="F254" s="98">
        <v>200</v>
      </c>
      <c r="G254" s="109">
        <f>'Приложение 4'!F253</f>
        <v>5556500</v>
      </c>
      <c r="H254" s="109">
        <f>'Приложение 4'!G253</f>
        <v>7131700</v>
      </c>
      <c r="I254" s="109">
        <f>'Приложение 4'!H253</f>
        <v>7131700</v>
      </c>
    </row>
    <row r="255" spans="1:9" s="157" customFormat="1" ht="16.5">
      <c r="A255" s="48" t="s">
        <v>188</v>
      </c>
      <c r="B255" s="101">
        <v>701</v>
      </c>
      <c r="C255" s="107" t="s">
        <v>360</v>
      </c>
      <c r="D255" s="107" t="s">
        <v>313</v>
      </c>
      <c r="E255" s="142" t="s">
        <v>203</v>
      </c>
      <c r="F255" s="98">
        <v>300</v>
      </c>
      <c r="G255" s="109">
        <f>'Приложение 4'!F254</f>
        <v>335677.91</v>
      </c>
      <c r="H255" s="109">
        <f>'Приложение 4'!G254</f>
        <v>0</v>
      </c>
      <c r="I255" s="109">
        <f>'Приложение 4'!H254</f>
        <v>0</v>
      </c>
    </row>
    <row r="256" spans="1:9" s="152" customFormat="1" ht="16.5">
      <c r="A256" s="46" t="s">
        <v>189</v>
      </c>
      <c r="B256" s="101">
        <v>701</v>
      </c>
      <c r="C256" s="107" t="s">
        <v>360</v>
      </c>
      <c r="D256" s="107" t="s">
        <v>313</v>
      </c>
      <c r="E256" s="142" t="s">
        <v>203</v>
      </c>
      <c r="F256" s="98">
        <v>800</v>
      </c>
      <c r="G256" s="109">
        <f>'Приложение 4'!F255</f>
        <v>11044767</v>
      </c>
      <c r="H256" s="109">
        <f>'Приложение 4'!G255</f>
        <v>10300</v>
      </c>
      <c r="I256" s="109">
        <f>'Приложение 4'!H255</f>
        <v>10300</v>
      </c>
    </row>
    <row r="257" spans="1:9" s="152" customFormat="1" ht="16.5">
      <c r="A257" s="66" t="s">
        <v>362</v>
      </c>
      <c r="B257" s="101">
        <v>701</v>
      </c>
      <c r="C257" s="105" t="s">
        <v>358</v>
      </c>
      <c r="D257" s="105"/>
      <c r="E257" s="141"/>
      <c r="F257" s="101"/>
      <c r="G257" s="111">
        <f>G258</f>
        <v>35987448.38</v>
      </c>
      <c r="H257" s="111">
        <f>H258</f>
        <v>0</v>
      </c>
      <c r="I257" s="111">
        <f>I258</f>
        <v>0</v>
      </c>
    </row>
    <row r="258" spans="1:9" s="152" customFormat="1" ht="16.5">
      <c r="A258" s="66" t="s">
        <v>363</v>
      </c>
      <c r="B258" s="101">
        <v>701</v>
      </c>
      <c r="C258" s="105" t="s">
        <v>358</v>
      </c>
      <c r="D258" s="105" t="s">
        <v>358</v>
      </c>
      <c r="E258" s="141"/>
      <c r="F258" s="101"/>
      <c r="G258" s="111">
        <f>G259+G262</f>
        <v>35987448.38</v>
      </c>
      <c r="H258" s="111">
        <f>H259+H262</f>
        <v>0</v>
      </c>
      <c r="I258" s="111">
        <f>I259+I262</f>
        <v>0</v>
      </c>
    </row>
    <row r="259" spans="1:9" s="152" customFormat="1" ht="16.5">
      <c r="A259" s="70" t="s">
        <v>283</v>
      </c>
      <c r="B259" s="101">
        <v>701</v>
      </c>
      <c r="C259" s="105" t="s">
        <v>358</v>
      </c>
      <c r="D259" s="105" t="s">
        <v>358</v>
      </c>
      <c r="E259" s="143">
        <v>1300000000</v>
      </c>
      <c r="F259" s="143"/>
      <c r="G259" s="109">
        <f aca="true" t="shared" si="22" ref="G259:I260">G260</f>
        <v>35987448.38</v>
      </c>
      <c r="H259" s="109">
        <f t="shared" si="22"/>
        <v>0</v>
      </c>
      <c r="I259" s="109">
        <f t="shared" si="22"/>
        <v>0</v>
      </c>
    </row>
    <row r="260" spans="1:9" s="153" customFormat="1" ht="51">
      <c r="A260" s="158" t="s">
        <v>284</v>
      </c>
      <c r="B260" s="101">
        <v>701</v>
      </c>
      <c r="C260" s="107" t="s">
        <v>358</v>
      </c>
      <c r="D260" s="107" t="s">
        <v>358</v>
      </c>
      <c r="E260" s="125">
        <v>1320000000</v>
      </c>
      <c r="F260" s="125"/>
      <c r="G260" s="109">
        <f t="shared" si="22"/>
        <v>35987448.38</v>
      </c>
      <c r="H260" s="109">
        <f t="shared" si="22"/>
        <v>0</v>
      </c>
      <c r="I260" s="109">
        <f t="shared" si="22"/>
        <v>0</v>
      </c>
    </row>
    <row r="261" spans="1:9" s="153" customFormat="1" ht="33.75">
      <c r="A261" s="48" t="s">
        <v>187</v>
      </c>
      <c r="B261" s="101">
        <v>701</v>
      </c>
      <c r="C261" s="107" t="s">
        <v>358</v>
      </c>
      <c r="D261" s="107" t="s">
        <v>358</v>
      </c>
      <c r="E261" s="125">
        <v>1320000000</v>
      </c>
      <c r="F261" s="125">
        <v>200</v>
      </c>
      <c r="G261" s="109">
        <f>'Приложение 4'!F260</f>
        <v>35987448.38</v>
      </c>
      <c r="H261" s="109">
        <f>'Приложение 4'!G260</f>
        <v>0</v>
      </c>
      <c r="I261" s="109">
        <f>'Приложение 4'!H260</f>
        <v>0</v>
      </c>
    </row>
    <row r="262" spans="1:9" s="153" customFormat="1" ht="16.5" hidden="1">
      <c r="A262" s="70" t="s">
        <v>302</v>
      </c>
      <c r="B262" s="101">
        <v>701</v>
      </c>
      <c r="C262" s="105" t="s">
        <v>358</v>
      </c>
      <c r="D262" s="105" t="s">
        <v>358</v>
      </c>
      <c r="E262" s="105" t="s">
        <v>303</v>
      </c>
      <c r="F262" s="125"/>
      <c r="G262" s="111">
        <f aca="true" t="shared" si="23" ref="G262:I263">G263</f>
        <v>0</v>
      </c>
      <c r="H262" s="111">
        <f t="shared" si="23"/>
        <v>0</v>
      </c>
      <c r="I262" s="111">
        <f t="shared" si="23"/>
        <v>0</v>
      </c>
    </row>
    <row r="263" spans="1:9" s="153" customFormat="1" ht="16.5" hidden="1">
      <c r="A263" s="48" t="s">
        <v>322</v>
      </c>
      <c r="B263" s="101">
        <v>701</v>
      </c>
      <c r="C263" s="107" t="s">
        <v>358</v>
      </c>
      <c r="D263" s="107" t="s">
        <v>358</v>
      </c>
      <c r="E263" s="107" t="s">
        <v>323</v>
      </c>
      <c r="F263" s="125"/>
      <c r="G263" s="109">
        <f t="shared" si="23"/>
        <v>0</v>
      </c>
      <c r="H263" s="109">
        <f t="shared" si="23"/>
        <v>0</v>
      </c>
      <c r="I263" s="109">
        <f t="shared" si="23"/>
        <v>0</v>
      </c>
    </row>
    <row r="264" spans="1:9" s="153" customFormat="1" ht="33.75" hidden="1">
      <c r="A264" s="48" t="s">
        <v>187</v>
      </c>
      <c r="B264" s="101">
        <v>701</v>
      </c>
      <c r="C264" s="107" t="s">
        <v>358</v>
      </c>
      <c r="D264" s="107" t="s">
        <v>358</v>
      </c>
      <c r="E264" s="107" t="s">
        <v>323</v>
      </c>
      <c r="F264" s="125">
        <v>200</v>
      </c>
      <c r="G264" s="109">
        <v>0</v>
      </c>
      <c r="H264" s="109">
        <v>0</v>
      </c>
      <c r="I264" s="109">
        <v>0</v>
      </c>
    </row>
    <row r="265" spans="1:9" s="152" customFormat="1" ht="16.5">
      <c r="A265" s="70" t="s">
        <v>364</v>
      </c>
      <c r="B265" s="101">
        <v>701</v>
      </c>
      <c r="C265" s="105" t="s">
        <v>336</v>
      </c>
      <c r="D265" s="105"/>
      <c r="E265" s="105"/>
      <c r="F265" s="105"/>
      <c r="G265" s="106">
        <f>G266+G273+G286+G303</f>
        <v>129942607.14999999</v>
      </c>
      <c r="H265" s="106">
        <f>H266+H273+H286+H303</f>
        <v>100837436.25999999</v>
      </c>
      <c r="I265" s="106">
        <f>I266+I273+I286+I303</f>
        <v>100645905.00999999</v>
      </c>
    </row>
    <row r="266" spans="1:9" s="152" customFormat="1" ht="16.5">
      <c r="A266" s="70" t="s">
        <v>365</v>
      </c>
      <c r="B266" s="101">
        <v>701</v>
      </c>
      <c r="C266" s="105" t="s">
        <v>336</v>
      </c>
      <c r="D266" s="105" t="s">
        <v>299</v>
      </c>
      <c r="E266" s="105"/>
      <c r="F266" s="105"/>
      <c r="G266" s="106">
        <f>G267+G270</f>
        <v>9396948.68</v>
      </c>
      <c r="H266" s="106">
        <f>H267+H270</f>
        <v>8199922</v>
      </c>
      <c r="I266" s="106">
        <f>I267+I270</f>
        <v>8095922</v>
      </c>
    </row>
    <row r="267" spans="1:9" s="153" customFormat="1" ht="16.5">
      <c r="A267" s="70" t="s">
        <v>245</v>
      </c>
      <c r="B267" s="101">
        <v>701</v>
      </c>
      <c r="C267" s="105" t="s">
        <v>336</v>
      </c>
      <c r="D267" s="105" t="s">
        <v>299</v>
      </c>
      <c r="E267" s="105" t="s">
        <v>246</v>
      </c>
      <c r="F267" s="105"/>
      <c r="G267" s="106">
        <f aca="true" t="shared" si="24" ref="G267:I268">G268</f>
        <v>5004552</v>
      </c>
      <c r="H267" s="106">
        <f t="shared" si="24"/>
        <v>4327000</v>
      </c>
      <c r="I267" s="106">
        <f t="shared" si="24"/>
        <v>4223000</v>
      </c>
    </row>
    <row r="268" spans="1:9" s="153" customFormat="1" ht="16.5">
      <c r="A268" s="48" t="s">
        <v>247</v>
      </c>
      <c r="B268" s="101">
        <v>701</v>
      </c>
      <c r="C268" s="107" t="s">
        <v>336</v>
      </c>
      <c r="D268" s="107" t="s">
        <v>299</v>
      </c>
      <c r="E268" s="107" t="s">
        <v>248</v>
      </c>
      <c r="F268" s="107"/>
      <c r="G268" s="108">
        <f t="shared" si="24"/>
        <v>5004552</v>
      </c>
      <c r="H268" s="108">
        <f t="shared" si="24"/>
        <v>4327000</v>
      </c>
      <c r="I268" s="108">
        <f t="shared" si="24"/>
        <v>4223000</v>
      </c>
    </row>
    <row r="269" spans="1:9" s="153" customFormat="1" ht="16.5">
      <c r="A269" s="48" t="s">
        <v>188</v>
      </c>
      <c r="B269" s="101">
        <v>701</v>
      </c>
      <c r="C269" s="107" t="s">
        <v>336</v>
      </c>
      <c r="D269" s="107" t="s">
        <v>299</v>
      </c>
      <c r="E269" s="107" t="s">
        <v>248</v>
      </c>
      <c r="F269" s="107" t="s">
        <v>249</v>
      </c>
      <c r="G269" s="108">
        <f>'Приложение 4'!F268</f>
        <v>5004552</v>
      </c>
      <c r="H269" s="108">
        <f>'Приложение 4'!G268</f>
        <v>4327000</v>
      </c>
      <c r="I269" s="108">
        <f>'Приложение 4'!H268</f>
        <v>4223000</v>
      </c>
    </row>
    <row r="270" spans="1:9" s="152" customFormat="1" ht="16.5">
      <c r="A270" s="70" t="s">
        <v>302</v>
      </c>
      <c r="B270" s="101">
        <v>701</v>
      </c>
      <c r="C270" s="105" t="s">
        <v>336</v>
      </c>
      <c r="D270" s="105" t="s">
        <v>299</v>
      </c>
      <c r="E270" s="105" t="s">
        <v>303</v>
      </c>
      <c r="F270" s="105"/>
      <c r="G270" s="106">
        <f aca="true" t="shared" si="25" ref="G270:I271">G271</f>
        <v>4392396.68</v>
      </c>
      <c r="H270" s="106">
        <f t="shared" si="25"/>
        <v>3872922</v>
      </c>
      <c r="I270" s="106">
        <f t="shared" si="25"/>
        <v>3872922</v>
      </c>
    </row>
    <row r="271" spans="1:9" s="153" customFormat="1" ht="16.5">
      <c r="A271" s="48" t="s">
        <v>322</v>
      </c>
      <c r="B271" s="101">
        <v>701</v>
      </c>
      <c r="C271" s="107" t="s">
        <v>336</v>
      </c>
      <c r="D271" s="107" t="s">
        <v>299</v>
      </c>
      <c r="E271" s="107" t="s">
        <v>323</v>
      </c>
      <c r="F271" s="107"/>
      <c r="G271" s="108">
        <f t="shared" si="25"/>
        <v>4392396.68</v>
      </c>
      <c r="H271" s="108">
        <f t="shared" si="25"/>
        <v>3872922</v>
      </c>
      <c r="I271" s="108">
        <f t="shared" si="25"/>
        <v>3872922</v>
      </c>
    </row>
    <row r="272" spans="1:9" s="152" customFormat="1" ht="16.5">
      <c r="A272" s="48" t="s">
        <v>188</v>
      </c>
      <c r="B272" s="101">
        <v>701</v>
      </c>
      <c r="C272" s="107" t="s">
        <v>336</v>
      </c>
      <c r="D272" s="107" t="s">
        <v>299</v>
      </c>
      <c r="E272" s="107" t="s">
        <v>323</v>
      </c>
      <c r="F272" s="107" t="s">
        <v>249</v>
      </c>
      <c r="G272" s="108">
        <f>'Приложение 4'!F271</f>
        <v>4392396.68</v>
      </c>
      <c r="H272" s="108">
        <f>'Приложение 4'!G271</f>
        <v>3872922</v>
      </c>
      <c r="I272" s="108">
        <f>'Приложение 4'!H271</f>
        <v>3872922</v>
      </c>
    </row>
    <row r="273" spans="1:9" s="152" customFormat="1" ht="16.5">
      <c r="A273" s="70" t="s">
        <v>366</v>
      </c>
      <c r="B273" s="101">
        <v>701</v>
      </c>
      <c r="C273" s="105" t="s">
        <v>336</v>
      </c>
      <c r="D273" s="105" t="s">
        <v>309</v>
      </c>
      <c r="E273" s="105"/>
      <c r="F273" s="105"/>
      <c r="G273" s="106">
        <f>G274+G278+G282</f>
        <v>61926706.989999995</v>
      </c>
      <c r="H273" s="106">
        <f>H274+H278+H282</f>
        <v>36900000</v>
      </c>
      <c r="I273" s="106">
        <f>I274+I278+I282</f>
        <v>36900000</v>
      </c>
    </row>
    <row r="274" spans="1:9" s="152" customFormat="1" ht="51">
      <c r="A274" s="70" t="s">
        <v>252</v>
      </c>
      <c r="B274" s="101">
        <v>701</v>
      </c>
      <c r="C274" s="105" t="s">
        <v>336</v>
      </c>
      <c r="D274" s="105" t="s">
        <v>309</v>
      </c>
      <c r="E274" s="105" t="s">
        <v>253</v>
      </c>
      <c r="F274" s="105"/>
      <c r="G274" s="106">
        <f>G275</f>
        <v>26099994.999999996</v>
      </c>
      <c r="H274" s="106">
        <f>H275</f>
        <v>30900000</v>
      </c>
      <c r="I274" s="106">
        <f>I275</f>
        <v>30900000</v>
      </c>
    </row>
    <row r="275" spans="1:9" s="138" customFormat="1" ht="16.5">
      <c r="A275" s="48" t="s">
        <v>256</v>
      </c>
      <c r="B275" s="101">
        <v>701</v>
      </c>
      <c r="C275" s="107" t="s">
        <v>336</v>
      </c>
      <c r="D275" s="107" t="s">
        <v>309</v>
      </c>
      <c r="E275" s="107" t="s">
        <v>257</v>
      </c>
      <c r="F275" s="107"/>
      <c r="G275" s="108">
        <f>G276+G277</f>
        <v>26099994.999999996</v>
      </c>
      <c r="H275" s="108">
        <f>H276+H277</f>
        <v>30900000</v>
      </c>
      <c r="I275" s="108">
        <f>I276+I277</f>
        <v>30900000</v>
      </c>
    </row>
    <row r="276" spans="1:9" s="138" customFormat="1" ht="16.5">
      <c r="A276" s="48" t="s">
        <v>188</v>
      </c>
      <c r="B276" s="101">
        <v>701</v>
      </c>
      <c r="C276" s="107" t="s">
        <v>336</v>
      </c>
      <c r="D276" s="107" t="s">
        <v>309</v>
      </c>
      <c r="E276" s="107" t="s">
        <v>257</v>
      </c>
      <c r="F276" s="107" t="s">
        <v>249</v>
      </c>
      <c r="G276" s="108">
        <f>'Приложение 4'!F275</f>
        <v>10699994.999999996</v>
      </c>
      <c r="H276" s="108">
        <f>'Приложение 4'!G275</f>
        <v>15300000</v>
      </c>
      <c r="I276" s="108">
        <f>'Приложение 4'!H275</f>
        <v>15300000</v>
      </c>
    </row>
    <row r="277" spans="1:9" s="138" customFormat="1" ht="33.75">
      <c r="A277" s="48" t="s">
        <v>212</v>
      </c>
      <c r="B277" s="101">
        <v>701</v>
      </c>
      <c r="C277" s="107" t="s">
        <v>336</v>
      </c>
      <c r="D277" s="107" t="s">
        <v>309</v>
      </c>
      <c r="E277" s="107" t="s">
        <v>257</v>
      </c>
      <c r="F277" s="107" t="s">
        <v>258</v>
      </c>
      <c r="G277" s="108">
        <f>'Приложение 4'!F276</f>
        <v>15400000</v>
      </c>
      <c r="H277" s="108">
        <f>'Приложение 4'!G276</f>
        <v>15600000</v>
      </c>
      <c r="I277" s="108">
        <f>'Приложение 4'!H276</f>
        <v>15600000</v>
      </c>
    </row>
    <row r="278" spans="1:9" s="140" customFormat="1" ht="33.75">
      <c r="A278" s="66" t="s">
        <v>278</v>
      </c>
      <c r="B278" s="101">
        <v>701</v>
      </c>
      <c r="C278" s="105" t="s">
        <v>336</v>
      </c>
      <c r="D278" s="105" t="s">
        <v>309</v>
      </c>
      <c r="E278" s="105" t="s">
        <v>412</v>
      </c>
      <c r="F278" s="105"/>
      <c r="G278" s="106">
        <f>G279</f>
        <v>6000000</v>
      </c>
      <c r="H278" s="106">
        <f>H279</f>
        <v>6000000</v>
      </c>
      <c r="I278" s="106">
        <f>I279</f>
        <v>6000000</v>
      </c>
    </row>
    <row r="279" spans="1:9" s="138" customFormat="1" ht="16.5">
      <c r="A279" s="46" t="s">
        <v>279</v>
      </c>
      <c r="B279" s="101">
        <v>701</v>
      </c>
      <c r="C279" s="107" t="s">
        <v>336</v>
      </c>
      <c r="D279" s="107" t="s">
        <v>309</v>
      </c>
      <c r="E279" s="107" t="s">
        <v>413</v>
      </c>
      <c r="F279" s="107"/>
      <c r="G279" s="108">
        <f>G280+G281</f>
        <v>6000000</v>
      </c>
      <c r="H279" s="108">
        <f>H280+H281</f>
        <v>6000000</v>
      </c>
      <c r="I279" s="108">
        <f>I280+I281</f>
        <v>6000000</v>
      </c>
    </row>
    <row r="280" spans="1:9" s="138" customFormat="1" ht="33.75">
      <c r="A280" s="46" t="s">
        <v>187</v>
      </c>
      <c r="B280" s="101">
        <v>701</v>
      </c>
      <c r="C280" s="107" t="s">
        <v>336</v>
      </c>
      <c r="D280" s="107" t="s">
        <v>309</v>
      </c>
      <c r="E280" s="107" t="s">
        <v>413</v>
      </c>
      <c r="F280" s="107" t="s">
        <v>244</v>
      </c>
      <c r="G280" s="108">
        <f>'Приложение 4'!F279</f>
        <v>300000</v>
      </c>
      <c r="H280" s="108">
        <f>'Приложение 4'!G279</f>
        <v>300000</v>
      </c>
      <c r="I280" s="108">
        <f>'Приложение 4'!H279</f>
        <v>300000</v>
      </c>
    </row>
    <row r="281" spans="1:9" s="138" customFormat="1" ht="33.75">
      <c r="A281" s="46" t="s">
        <v>196</v>
      </c>
      <c r="B281" s="101">
        <v>701</v>
      </c>
      <c r="C281" s="107" t="s">
        <v>336</v>
      </c>
      <c r="D281" s="107" t="s">
        <v>309</v>
      </c>
      <c r="E281" s="107" t="s">
        <v>413</v>
      </c>
      <c r="F281" s="107" t="s">
        <v>329</v>
      </c>
      <c r="G281" s="108">
        <f>'Приложение 4'!F280</f>
        <v>5700000</v>
      </c>
      <c r="H281" s="108">
        <f>'Приложение 4'!G280</f>
        <v>5700000</v>
      </c>
      <c r="I281" s="108">
        <f>'Приложение 4'!H280</f>
        <v>5700000</v>
      </c>
    </row>
    <row r="282" spans="1:9" s="138" customFormat="1" ht="16.5">
      <c r="A282" s="70" t="s">
        <v>302</v>
      </c>
      <c r="B282" s="101">
        <v>701</v>
      </c>
      <c r="C282" s="105" t="s">
        <v>336</v>
      </c>
      <c r="D282" s="105" t="s">
        <v>309</v>
      </c>
      <c r="E282" s="105" t="s">
        <v>323</v>
      </c>
      <c r="F282" s="105"/>
      <c r="G282" s="106">
        <f>G283</f>
        <v>29826711.990000002</v>
      </c>
      <c r="H282" s="106">
        <f>H283</f>
        <v>0</v>
      </c>
      <c r="I282" s="106">
        <f>I283</f>
        <v>0</v>
      </c>
    </row>
    <row r="283" spans="1:9" s="138" customFormat="1" ht="16.5">
      <c r="A283" s="48" t="s">
        <v>322</v>
      </c>
      <c r="B283" s="101">
        <v>701</v>
      </c>
      <c r="C283" s="107" t="s">
        <v>336</v>
      </c>
      <c r="D283" s="107" t="s">
        <v>309</v>
      </c>
      <c r="E283" s="107" t="s">
        <v>323</v>
      </c>
      <c r="F283" s="107"/>
      <c r="G283" s="108">
        <f>G285+G284</f>
        <v>29826711.990000002</v>
      </c>
      <c r="H283" s="108">
        <f>H285+H284</f>
        <v>0</v>
      </c>
      <c r="I283" s="108">
        <f>I285+I284</f>
        <v>0</v>
      </c>
    </row>
    <row r="284" spans="1:9" s="138" customFormat="1" ht="33.75">
      <c r="A284" s="46" t="s">
        <v>187</v>
      </c>
      <c r="B284" s="101">
        <v>701</v>
      </c>
      <c r="C284" s="107" t="s">
        <v>336</v>
      </c>
      <c r="D284" s="107" t="s">
        <v>309</v>
      </c>
      <c r="E284" s="107" t="s">
        <v>323</v>
      </c>
      <c r="F284" s="107" t="s">
        <v>244</v>
      </c>
      <c r="G284" s="108">
        <f>'Приложение 4'!F283</f>
        <v>3050171.99</v>
      </c>
      <c r="H284" s="108">
        <f>'Приложение 4'!G283</f>
        <v>0</v>
      </c>
      <c r="I284" s="108">
        <f>'Приложение 4'!H283</f>
        <v>0</v>
      </c>
    </row>
    <row r="285" spans="1:9" s="138" customFormat="1" ht="33.75">
      <c r="A285" s="48" t="s">
        <v>212</v>
      </c>
      <c r="B285" s="101">
        <v>701</v>
      </c>
      <c r="C285" s="107" t="s">
        <v>336</v>
      </c>
      <c r="D285" s="107" t="s">
        <v>309</v>
      </c>
      <c r="E285" s="107" t="s">
        <v>323</v>
      </c>
      <c r="F285" s="107" t="s">
        <v>258</v>
      </c>
      <c r="G285" s="108">
        <f>'Приложение 4'!F284</f>
        <v>26776540</v>
      </c>
      <c r="H285" s="108">
        <f>'Приложение 4'!G284</f>
        <v>0</v>
      </c>
      <c r="I285" s="108">
        <f>'Приложение 4'!H284</f>
        <v>0</v>
      </c>
    </row>
    <row r="286" spans="1:11" s="37" customFormat="1" ht="16.5">
      <c r="A286" s="70" t="s">
        <v>369</v>
      </c>
      <c r="B286" s="101">
        <v>701</v>
      </c>
      <c r="C286" s="105" t="s">
        <v>336</v>
      </c>
      <c r="D286" s="105" t="s">
        <v>313</v>
      </c>
      <c r="E286" s="105"/>
      <c r="F286" s="105"/>
      <c r="G286" s="106">
        <f>G287+G291+G295+G298</f>
        <v>44264855.89</v>
      </c>
      <c r="H286" s="106">
        <f>H287+H291+H295+H298</f>
        <v>43600711.129999995</v>
      </c>
      <c r="I286" s="106">
        <f>I287+I291+I295+I298</f>
        <v>43600711.129999995</v>
      </c>
      <c r="K286" s="38"/>
    </row>
    <row r="287" spans="1:9" ht="33.75">
      <c r="A287" s="66" t="s">
        <v>414</v>
      </c>
      <c r="B287" s="101">
        <v>701</v>
      </c>
      <c r="C287" s="105" t="s">
        <v>336</v>
      </c>
      <c r="D287" s="105" t="s">
        <v>313</v>
      </c>
      <c r="E287" s="141" t="s">
        <v>234</v>
      </c>
      <c r="F287" s="105"/>
      <c r="G287" s="106">
        <f>G288</f>
        <v>2193113.77</v>
      </c>
      <c r="H287" s="106">
        <f>H288</f>
        <v>2233711.13</v>
      </c>
      <c r="I287" s="106">
        <f>I288</f>
        <v>2233711.13</v>
      </c>
    </row>
    <row r="288" spans="1:9" ht="16.5">
      <c r="A288" s="48" t="s">
        <v>240</v>
      </c>
      <c r="B288" s="101">
        <v>701</v>
      </c>
      <c r="C288" s="107" t="s">
        <v>336</v>
      </c>
      <c r="D288" s="107" t="s">
        <v>313</v>
      </c>
      <c r="E288" s="142" t="s">
        <v>241</v>
      </c>
      <c r="F288" s="107"/>
      <c r="G288" s="108">
        <f>G289+G290</f>
        <v>2193113.77</v>
      </c>
      <c r="H288" s="108">
        <f>H289+H290</f>
        <v>2233711.13</v>
      </c>
      <c r="I288" s="108">
        <f>I289+I290</f>
        <v>2233711.13</v>
      </c>
    </row>
    <row r="289" spans="1:9" ht="33.75">
      <c r="A289" s="48" t="s">
        <v>187</v>
      </c>
      <c r="B289" s="101">
        <v>701</v>
      </c>
      <c r="C289" s="107" t="s">
        <v>336</v>
      </c>
      <c r="D289" s="107" t="s">
        <v>313</v>
      </c>
      <c r="E289" s="142" t="s">
        <v>241</v>
      </c>
      <c r="F289" s="107" t="s">
        <v>244</v>
      </c>
      <c r="G289" s="108">
        <f>'Приложение 4'!F288</f>
        <v>1483344.77</v>
      </c>
      <c r="H289" s="108">
        <f>'Приложение 4'!G288</f>
        <v>1358999.13</v>
      </c>
      <c r="I289" s="108">
        <f>'Приложение 4'!H288</f>
        <v>1358999.13</v>
      </c>
    </row>
    <row r="290" spans="1:9" ht="16.5">
      <c r="A290" s="48" t="s">
        <v>188</v>
      </c>
      <c r="B290" s="101">
        <v>701</v>
      </c>
      <c r="C290" s="107" t="s">
        <v>336</v>
      </c>
      <c r="D290" s="107" t="s">
        <v>313</v>
      </c>
      <c r="E290" s="142" t="s">
        <v>241</v>
      </c>
      <c r="F290" s="107" t="s">
        <v>249</v>
      </c>
      <c r="G290" s="108">
        <f>'Приложение 4'!F289</f>
        <v>709769</v>
      </c>
      <c r="H290" s="108">
        <f>'Приложение 4'!G289</f>
        <v>874712</v>
      </c>
      <c r="I290" s="108">
        <f>'Приложение 4'!H289</f>
        <v>874712</v>
      </c>
    </row>
    <row r="291" spans="1:9" ht="16.5">
      <c r="A291" s="70" t="s">
        <v>245</v>
      </c>
      <c r="B291" s="101">
        <v>701</v>
      </c>
      <c r="C291" s="105" t="s">
        <v>336</v>
      </c>
      <c r="D291" s="105" t="s">
        <v>313</v>
      </c>
      <c r="E291" s="105" t="s">
        <v>246</v>
      </c>
      <c r="F291" s="105"/>
      <c r="G291" s="106">
        <f>G292</f>
        <v>1932830</v>
      </c>
      <c r="H291" s="106">
        <f>H292</f>
        <v>2067000</v>
      </c>
      <c r="I291" s="106">
        <f>I292</f>
        <v>2067000</v>
      </c>
    </row>
    <row r="292" spans="1:9" ht="16.5">
      <c r="A292" s="48" t="s">
        <v>247</v>
      </c>
      <c r="B292" s="101">
        <v>701</v>
      </c>
      <c r="C292" s="107" t="s">
        <v>336</v>
      </c>
      <c r="D292" s="107" t="s">
        <v>313</v>
      </c>
      <c r="E292" s="107" t="s">
        <v>248</v>
      </c>
      <c r="F292" s="107"/>
      <c r="G292" s="108">
        <f>SUM(G293:G294)</f>
        <v>1932830</v>
      </c>
      <c r="H292" s="108">
        <f>SUM(H293:H294)</f>
        <v>2067000</v>
      </c>
      <c r="I292" s="108">
        <f>SUM(I293:I294)</f>
        <v>2067000</v>
      </c>
    </row>
    <row r="293" spans="1:9" ht="33.75">
      <c r="A293" s="48" t="s">
        <v>187</v>
      </c>
      <c r="B293" s="101">
        <v>701</v>
      </c>
      <c r="C293" s="107" t="s">
        <v>336</v>
      </c>
      <c r="D293" s="107" t="s">
        <v>313</v>
      </c>
      <c r="E293" s="107" t="s">
        <v>248</v>
      </c>
      <c r="F293" s="107" t="s">
        <v>244</v>
      </c>
      <c r="G293" s="108">
        <f>'Приложение 4'!F292</f>
        <v>194000</v>
      </c>
      <c r="H293" s="108">
        <f>'Приложение 4'!G292</f>
        <v>194000</v>
      </c>
      <c r="I293" s="108">
        <f>'Приложение 4'!H292</f>
        <v>194000</v>
      </c>
    </row>
    <row r="294" spans="1:9" ht="16.5">
      <c r="A294" s="48" t="s">
        <v>188</v>
      </c>
      <c r="B294" s="101">
        <v>701</v>
      </c>
      <c r="C294" s="107" t="s">
        <v>336</v>
      </c>
      <c r="D294" s="107" t="s">
        <v>313</v>
      </c>
      <c r="E294" s="107" t="s">
        <v>248</v>
      </c>
      <c r="F294" s="107" t="s">
        <v>249</v>
      </c>
      <c r="G294" s="108">
        <f>'Приложение 4'!F293</f>
        <v>1738830</v>
      </c>
      <c r="H294" s="108">
        <f>'Приложение 4'!G293</f>
        <v>1873000</v>
      </c>
      <c r="I294" s="108">
        <f>'Приложение 4'!H293</f>
        <v>1873000</v>
      </c>
    </row>
    <row r="295" spans="1:9" ht="51">
      <c r="A295" s="70" t="s">
        <v>252</v>
      </c>
      <c r="B295" s="101">
        <v>701</v>
      </c>
      <c r="C295" s="105" t="s">
        <v>336</v>
      </c>
      <c r="D295" s="105" t="s">
        <v>313</v>
      </c>
      <c r="E295" s="105" t="s">
        <v>253</v>
      </c>
      <c r="F295" s="105"/>
      <c r="G295" s="106">
        <f aca="true" t="shared" si="26" ref="G295:I296">G296</f>
        <v>23973312.12</v>
      </c>
      <c r="H295" s="106">
        <f t="shared" si="26"/>
        <v>25800000</v>
      </c>
      <c r="I295" s="106">
        <f t="shared" si="26"/>
        <v>25800000</v>
      </c>
    </row>
    <row r="296" spans="1:9" ht="16.5">
      <c r="A296" s="48" t="s">
        <v>256</v>
      </c>
      <c r="B296" s="101">
        <v>701</v>
      </c>
      <c r="C296" s="107" t="s">
        <v>336</v>
      </c>
      <c r="D296" s="107" t="s">
        <v>313</v>
      </c>
      <c r="E296" s="107" t="s">
        <v>257</v>
      </c>
      <c r="F296" s="107"/>
      <c r="G296" s="108">
        <f t="shared" si="26"/>
        <v>23973312.12</v>
      </c>
      <c r="H296" s="108">
        <f t="shared" si="26"/>
        <v>25800000</v>
      </c>
      <c r="I296" s="108">
        <f t="shared" si="26"/>
        <v>25800000</v>
      </c>
    </row>
    <row r="297" spans="1:9" ht="16.5">
      <c r="A297" s="48" t="s">
        <v>188</v>
      </c>
      <c r="B297" s="101">
        <v>701</v>
      </c>
      <c r="C297" s="107" t="s">
        <v>336</v>
      </c>
      <c r="D297" s="107" t="s">
        <v>313</v>
      </c>
      <c r="E297" s="107" t="s">
        <v>257</v>
      </c>
      <c r="F297" s="107" t="s">
        <v>249</v>
      </c>
      <c r="G297" s="108">
        <f>'Приложение 4'!F296</f>
        <v>23973312.12</v>
      </c>
      <c r="H297" s="108">
        <f>'Приложение 4'!G296</f>
        <v>25800000</v>
      </c>
      <c r="I297" s="108">
        <f>'Приложение 4'!H296</f>
        <v>25800000</v>
      </c>
    </row>
    <row r="298" spans="1:11" ht="16.5">
      <c r="A298" s="70" t="s">
        <v>302</v>
      </c>
      <c r="B298" s="101">
        <v>701</v>
      </c>
      <c r="C298" s="105" t="s">
        <v>336</v>
      </c>
      <c r="D298" s="105" t="s">
        <v>313</v>
      </c>
      <c r="E298" s="105" t="s">
        <v>303</v>
      </c>
      <c r="F298" s="105"/>
      <c r="G298" s="106">
        <f>G299</f>
        <v>16165600</v>
      </c>
      <c r="H298" s="106">
        <f>H299</f>
        <v>13500000</v>
      </c>
      <c r="I298" s="106">
        <f>I299</f>
        <v>13500000</v>
      </c>
      <c r="K298" s="27"/>
    </row>
    <row r="299" spans="1:9" ht="16.5">
      <c r="A299" s="48" t="s">
        <v>322</v>
      </c>
      <c r="B299" s="101">
        <v>701</v>
      </c>
      <c r="C299" s="107" t="s">
        <v>336</v>
      </c>
      <c r="D299" s="107" t="s">
        <v>313</v>
      </c>
      <c r="E299" s="107" t="s">
        <v>323</v>
      </c>
      <c r="F299" s="107"/>
      <c r="G299" s="108">
        <f>G300+G301+G302</f>
        <v>16165600</v>
      </c>
      <c r="H299" s="108">
        <f>H300+H301</f>
        <v>13500000</v>
      </c>
      <c r="I299" s="108">
        <f>I300+I301</f>
        <v>13500000</v>
      </c>
    </row>
    <row r="300" spans="1:9" ht="33.75">
      <c r="A300" s="48" t="s">
        <v>187</v>
      </c>
      <c r="B300" s="101">
        <v>701</v>
      </c>
      <c r="C300" s="107" t="s">
        <v>336</v>
      </c>
      <c r="D300" s="107" t="s">
        <v>313</v>
      </c>
      <c r="E300" s="107" t="s">
        <v>323</v>
      </c>
      <c r="F300" s="107" t="s">
        <v>244</v>
      </c>
      <c r="G300" s="108">
        <f>'Приложение 4'!F299</f>
        <v>197734</v>
      </c>
      <c r="H300" s="108">
        <f>'Приложение 4'!G299</f>
        <v>197734</v>
      </c>
      <c r="I300" s="108">
        <f>'Приложение 4'!H299</f>
        <v>197734</v>
      </c>
    </row>
    <row r="301" spans="1:9" ht="16.5">
      <c r="A301" s="48" t="s">
        <v>188</v>
      </c>
      <c r="B301" s="101">
        <v>701</v>
      </c>
      <c r="C301" s="107" t="s">
        <v>336</v>
      </c>
      <c r="D301" s="107" t="s">
        <v>313</v>
      </c>
      <c r="E301" s="107" t="s">
        <v>323</v>
      </c>
      <c r="F301" s="107" t="s">
        <v>249</v>
      </c>
      <c r="G301" s="108">
        <f>'Приложение 4'!F300</f>
        <v>13302266</v>
      </c>
      <c r="H301" s="108">
        <f>'Приложение 4'!G300</f>
        <v>13302266</v>
      </c>
      <c r="I301" s="108">
        <f>'Приложение 4'!H300</f>
        <v>13302266</v>
      </c>
    </row>
    <row r="302" spans="1:9" ht="33.75">
      <c r="A302" s="48" t="s">
        <v>212</v>
      </c>
      <c r="B302" s="101">
        <v>701</v>
      </c>
      <c r="C302" s="107" t="s">
        <v>336</v>
      </c>
      <c r="D302" s="107" t="s">
        <v>313</v>
      </c>
      <c r="E302" s="107" t="s">
        <v>323</v>
      </c>
      <c r="F302" s="107" t="s">
        <v>258</v>
      </c>
      <c r="G302" s="108">
        <f>'Приложение 4'!F301</f>
        <v>2665600</v>
      </c>
      <c r="H302" s="108">
        <f>'Приложение 4'!G301</f>
        <v>0</v>
      </c>
      <c r="I302" s="108">
        <f>'Приложение 4'!H301</f>
        <v>0</v>
      </c>
    </row>
    <row r="303" spans="1:9" s="37" customFormat="1" ht="16.5">
      <c r="A303" s="70" t="s">
        <v>370</v>
      </c>
      <c r="B303" s="101">
        <v>701</v>
      </c>
      <c r="C303" s="105" t="s">
        <v>336</v>
      </c>
      <c r="D303" s="105" t="s">
        <v>317</v>
      </c>
      <c r="E303" s="105"/>
      <c r="F303" s="105"/>
      <c r="G303" s="106">
        <f>G304+G311+G316</f>
        <v>14354095.59</v>
      </c>
      <c r="H303" s="106">
        <f>H304+H311+H316</f>
        <v>12136803.129999999</v>
      </c>
      <c r="I303" s="106">
        <f>I304+I311+I316</f>
        <v>12049271.879999999</v>
      </c>
    </row>
    <row r="304" spans="1:9" ht="16.5">
      <c r="A304" s="70" t="s">
        <v>245</v>
      </c>
      <c r="B304" s="101">
        <v>701</v>
      </c>
      <c r="C304" s="105" t="s">
        <v>336</v>
      </c>
      <c r="D304" s="105" t="s">
        <v>317</v>
      </c>
      <c r="E304" s="105" t="s">
        <v>246</v>
      </c>
      <c r="F304" s="105"/>
      <c r="G304" s="106">
        <f>G305+G307</f>
        <v>3430483.9</v>
      </c>
      <c r="H304" s="106">
        <f>H305+H307</f>
        <v>5167387.1</v>
      </c>
      <c r="I304" s="106">
        <f>I305+I307</f>
        <v>5079855.85</v>
      </c>
    </row>
    <row r="305" spans="1:9" ht="16.5">
      <c r="A305" s="48" t="s">
        <v>247</v>
      </c>
      <c r="B305" s="101">
        <v>701</v>
      </c>
      <c r="C305" s="107" t="s">
        <v>336</v>
      </c>
      <c r="D305" s="107" t="s">
        <v>317</v>
      </c>
      <c r="E305" s="107" t="s">
        <v>248</v>
      </c>
      <c r="F305" s="107"/>
      <c r="G305" s="108">
        <f>G306</f>
        <v>2438000</v>
      </c>
      <c r="H305" s="108">
        <f>H306</f>
        <v>2596000</v>
      </c>
      <c r="I305" s="108">
        <f>I306</f>
        <v>2700000</v>
      </c>
    </row>
    <row r="306" spans="1:9" ht="16.5">
      <c r="A306" s="48" t="s">
        <v>188</v>
      </c>
      <c r="B306" s="101">
        <v>701</v>
      </c>
      <c r="C306" s="107" t="s">
        <v>336</v>
      </c>
      <c r="D306" s="107" t="s">
        <v>317</v>
      </c>
      <c r="E306" s="107" t="s">
        <v>248</v>
      </c>
      <c r="F306" s="107" t="s">
        <v>249</v>
      </c>
      <c r="G306" s="108">
        <f>'Приложение 4'!F305</f>
        <v>2438000</v>
      </c>
      <c r="H306" s="108">
        <f>'Приложение 4'!G305</f>
        <v>2596000</v>
      </c>
      <c r="I306" s="108">
        <f>'Приложение 4'!H305</f>
        <v>2700000</v>
      </c>
    </row>
    <row r="307" spans="1:9" ht="16.5">
      <c r="A307" s="48" t="s">
        <v>250</v>
      </c>
      <c r="B307" s="101">
        <v>701</v>
      </c>
      <c r="C307" s="107" t="s">
        <v>336</v>
      </c>
      <c r="D307" s="107" t="s">
        <v>317</v>
      </c>
      <c r="E307" s="107" t="s">
        <v>251</v>
      </c>
      <c r="F307" s="107"/>
      <c r="G307" s="108">
        <f>SUM(G308:G310)</f>
        <v>992483.8999999999</v>
      </c>
      <c r="H307" s="108">
        <f>SUM(H308:H310)</f>
        <v>2571387.1</v>
      </c>
      <c r="I307" s="108">
        <f>SUM(I308:I310)</f>
        <v>2379855.85</v>
      </c>
    </row>
    <row r="308" spans="1:9" ht="67.5">
      <c r="A308" s="48" t="s">
        <v>186</v>
      </c>
      <c r="B308" s="101">
        <v>701</v>
      </c>
      <c r="C308" s="107" t="s">
        <v>336</v>
      </c>
      <c r="D308" s="107" t="s">
        <v>317</v>
      </c>
      <c r="E308" s="107" t="s">
        <v>251</v>
      </c>
      <c r="F308" s="107" t="s">
        <v>221</v>
      </c>
      <c r="G308" s="108">
        <f>'Приложение 4'!F307</f>
        <v>0</v>
      </c>
      <c r="H308" s="108">
        <f>'Приложение 4'!G307</f>
        <v>0</v>
      </c>
      <c r="I308" s="108">
        <f>'Приложение 4'!H307</f>
        <v>0</v>
      </c>
    </row>
    <row r="309" spans="1:9" ht="33.75">
      <c r="A309" s="48" t="s">
        <v>187</v>
      </c>
      <c r="B309" s="101">
        <v>701</v>
      </c>
      <c r="C309" s="107" t="s">
        <v>336</v>
      </c>
      <c r="D309" s="107" t="s">
        <v>317</v>
      </c>
      <c r="E309" s="107" t="s">
        <v>251</v>
      </c>
      <c r="F309" s="107" t="s">
        <v>244</v>
      </c>
      <c r="G309" s="108">
        <f>'Приложение 4'!F308</f>
        <v>992483.8999999999</v>
      </c>
      <c r="H309" s="108">
        <f>'Приложение 4'!G308</f>
        <v>2331387.1</v>
      </c>
      <c r="I309" s="108">
        <f>'Приложение 4'!H308</f>
        <v>2379855.85</v>
      </c>
    </row>
    <row r="310" spans="1:9" ht="16.5">
      <c r="A310" s="48" t="s">
        <v>188</v>
      </c>
      <c r="B310" s="101">
        <v>701</v>
      </c>
      <c r="C310" s="107" t="s">
        <v>336</v>
      </c>
      <c r="D310" s="107" t="s">
        <v>317</v>
      </c>
      <c r="E310" s="107" t="s">
        <v>251</v>
      </c>
      <c r="F310" s="107" t="s">
        <v>249</v>
      </c>
      <c r="G310" s="108">
        <f>'Приложение 4'!F309</f>
        <v>0</v>
      </c>
      <c r="H310" s="108">
        <f>'Приложение 4'!G309</f>
        <v>240000</v>
      </c>
      <c r="I310" s="108">
        <f>'Приложение 4'!H309</f>
        <v>0</v>
      </c>
    </row>
    <row r="311" spans="1:9" ht="16.5">
      <c r="A311" s="70" t="s">
        <v>415</v>
      </c>
      <c r="B311" s="101">
        <v>701</v>
      </c>
      <c r="C311" s="105" t="s">
        <v>336</v>
      </c>
      <c r="D311" s="105" t="s">
        <v>317</v>
      </c>
      <c r="E311" s="105" t="s">
        <v>275</v>
      </c>
      <c r="F311" s="105"/>
      <c r="G311" s="106">
        <f>G312</f>
        <v>2995900</v>
      </c>
      <c r="H311" s="106">
        <f>H312</f>
        <v>2995900</v>
      </c>
      <c r="I311" s="106">
        <f>I312</f>
        <v>2995900</v>
      </c>
    </row>
    <row r="312" spans="1:9" ht="33.75">
      <c r="A312" s="159" t="s">
        <v>276</v>
      </c>
      <c r="B312" s="101">
        <v>701</v>
      </c>
      <c r="C312" s="107" t="s">
        <v>336</v>
      </c>
      <c r="D312" s="107" t="s">
        <v>317</v>
      </c>
      <c r="E312" s="107" t="s">
        <v>277</v>
      </c>
      <c r="F312" s="107"/>
      <c r="G312" s="108">
        <f>SUM(G313:G315)</f>
        <v>2995900</v>
      </c>
      <c r="H312" s="108">
        <f>SUM(H313:H315)</f>
        <v>2995900</v>
      </c>
      <c r="I312" s="108">
        <f>SUM(I313:I315)</f>
        <v>2995900</v>
      </c>
    </row>
    <row r="313" spans="1:9" ht="67.5">
      <c r="A313" s="160" t="s">
        <v>186</v>
      </c>
      <c r="B313" s="101">
        <v>701</v>
      </c>
      <c r="C313" s="107" t="s">
        <v>336</v>
      </c>
      <c r="D313" s="107" t="s">
        <v>317</v>
      </c>
      <c r="E313" s="107" t="s">
        <v>277</v>
      </c>
      <c r="F313" s="107" t="s">
        <v>221</v>
      </c>
      <c r="G313" s="108">
        <f>'Приложение 4'!F312</f>
        <v>272580</v>
      </c>
      <c r="H313" s="108">
        <f>'Приложение 4'!G312</f>
        <v>127200</v>
      </c>
      <c r="I313" s="108">
        <f>'Приложение 4'!H312</f>
        <v>127200</v>
      </c>
    </row>
    <row r="314" spans="1:9" ht="33.75">
      <c r="A314" s="48" t="s">
        <v>187</v>
      </c>
      <c r="B314" s="101">
        <v>701</v>
      </c>
      <c r="C314" s="107" t="s">
        <v>336</v>
      </c>
      <c r="D314" s="107" t="s">
        <v>317</v>
      </c>
      <c r="E314" s="107" t="s">
        <v>277</v>
      </c>
      <c r="F314" s="107" t="s">
        <v>244</v>
      </c>
      <c r="G314" s="108">
        <f>'Приложение 4'!F313</f>
        <v>1269598.02</v>
      </c>
      <c r="H314" s="108">
        <f>'Приложение 4'!G313</f>
        <v>1004200</v>
      </c>
      <c r="I314" s="108">
        <f>'Приложение 4'!H313</f>
        <v>1004200</v>
      </c>
    </row>
    <row r="315" spans="1:9" ht="16.5">
      <c r="A315" s="48" t="s">
        <v>188</v>
      </c>
      <c r="B315" s="101">
        <v>701</v>
      </c>
      <c r="C315" s="107" t="s">
        <v>336</v>
      </c>
      <c r="D315" s="107" t="s">
        <v>317</v>
      </c>
      <c r="E315" s="107" t="s">
        <v>277</v>
      </c>
      <c r="F315" s="107" t="s">
        <v>249</v>
      </c>
      <c r="G315" s="108">
        <f>'Приложение 4'!F314</f>
        <v>1453721.98</v>
      </c>
      <c r="H315" s="108">
        <f>'Приложение 4'!G314</f>
        <v>1864500</v>
      </c>
      <c r="I315" s="108">
        <f>'Приложение 4'!H314</f>
        <v>1864500</v>
      </c>
    </row>
    <row r="316" spans="1:9" ht="16.5">
      <c r="A316" s="70" t="s">
        <v>302</v>
      </c>
      <c r="B316" s="101">
        <v>701</v>
      </c>
      <c r="C316" s="105" t="s">
        <v>336</v>
      </c>
      <c r="D316" s="105" t="s">
        <v>317</v>
      </c>
      <c r="E316" s="105" t="s">
        <v>303</v>
      </c>
      <c r="F316" s="107"/>
      <c r="G316" s="106">
        <f>G317+G319</f>
        <v>7927711.69</v>
      </c>
      <c r="H316" s="106">
        <f>H317+H319</f>
        <v>3973516.03</v>
      </c>
      <c r="I316" s="106">
        <f>I317+I319</f>
        <v>3973516.03</v>
      </c>
    </row>
    <row r="317" spans="1:9" ht="33.75">
      <c r="A317" s="48" t="s">
        <v>304</v>
      </c>
      <c r="B317" s="101">
        <v>701</v>
      </c>
      <c r="C317" s="107" t="s">
        <v>336</v>
      </c>
      <c r="D317" s="107" t="s">
        <v>317</v>
      </c>
      <c r="E317" s="107" t="s">
        <v>305</v>
      </c>
      <c r="F317" s="107"/>
      <c r="G317" s="108">
        <f>G318</f>
        <v>4444504.91</v>
      </c>
      <c r="H317" s="108">
        <f>H318</f>
        <v>2854216.03</v>
      </c>
      <c r="I317" s="108">
        <f>I318</f>
        <v>2854216.03</v>
      </c>
    </row>
    <row r="318" spans="1:9" ht="67.5">
      <c r="A318" s="48" t="s">
        <v>186</v>
      </c>
      <c r="B318" s="101">
        <v>701</v>
      </c>
      <c r="C318" s="107" t="s">
        <v>336</v>
      </c>
      <c r="D318" s="107" t="s">
        <v>317</v>
      </c>
      <c r="E318" s="107" t="s">
        <v>305</v>
      </c>
      <c r="F318" s="107" t="s">
        <v>221</v>
      </c>
      <c r="G318" s="108">
        <f>'Приложение 4'!F317</f>
        <v>4444504.91</v>
      </c>
      <c r="H318" s="108">
        <f>'Приложение 4'!G317</f>
        <v>2854216.03</v>
      </c>
      <c r="I318" s="108">
        <f>'Приложение 4'!H317</f>
        <v>2854216.03</v>
      </c>
    </row>
    <row r="319" spans="1:9" ht="16.5">
      <c r="A319" s="48" t="s">
        <v>322</v>
      </c>
      <c r="B319" s="101">
        <v>701</v>
      </c>
      <c r="C319" s="107" t="s">
        <v>336</v>
      </c>
      <c r="D319" s="107" t="s">
        <v>317</v>
      </c>
      <c r="E319" s="107" t="s">
        <v>323</v>
      </c>
      <c r="F319" s="107"/>
      <c r="G319" s="108">
        <f>SUM(G320:G321)</f>
        <v>3483206.7800000003</v>
      </c>
      <c r="H319" s="108">
        <f>SUM(H320:H321)</f>
        <v>1119300</v>
      </c>
      <c r="I319" s="108">
        <f>SUM(I320:I321)</f>
        <v>1119300</v>
      </c>
    </row>
    <row r="320" spans="1:9" ht="33.75" hidden="1">
      <c r="A320" s="48" t="s">
        <v>187</v>
      </c>
      <c r="B320" s="101">
        <v>701</v>
      </c>
      <c r="C320" s="107" t="s">
        <v>336</v>
      </c>
      <c r="D320" s="107" t="s">
        <v>317</v>
      </c>
      <c r="E320" s="107" t="s">
        <v>323</v>
      </c>
      <c r="F320" s="107" t="s">
        <v>244</v>
      </c>
      <c r="G320" s="108">
        <v>0</v>
      </c>
      <c r="H320" s="108">
        <v>0</v>
      </c>
      <c r="I320" s="108">
        <v>0</v>
      </c>
    </row>
    <row r="321" spans="1:9" ht="16.5">
      <c r="A321" s="48" t="s">
        <v>188</v>
      </c>
      <c r="B321" s="101">
        <v>701</v>
      </c>
      <c r="C321" s="107" t="s">
        <v>336</v>
      </c>
      <c r="D321" s="107" t="s">
        <v>317</v>
      </c>
      <c r="E321" s="107" t="s">
        <v>323</v>
      </c>
      <c r="F321" s="107" t="s">
        <v>249</v>
      </c>
      <c r="G321" s="108">
        <f>'Приложение 4'!F320</f>
        <v>3483206.7800000003</v>
      </c>
      <c r="H321" s="108">
        <f>'Приложение 4'!G320</f>
        <v>1119300</v>
      </c>
      <c r="I321" s="108">
        <f>'Приложение 4'!H320</f>
        <v>1119300</v>
      </c>
    </row>
    <row r="322" spans="1:9" ht="16.5">
      <c r="A322" s="70" t="s">
        <v>371</v>
      </c>
      <c r="B322" s="101">
        <v>701</v>
      </c>
      <c r="C322" s="105" t="s">
        <v>321</v>
      </c>
      <c r="D322" s="105"/>
      <c r="E322" s="105"/>
      <c r="F322" s="105"/>
      <c r="G322" s="106">
        <f>G323+G338</f>
        <v>185157619.07999998</v>
      </c>
      <c r="H322" s="106">
        <f>H323+H338</f>
        <v>138072363.33999997</v>
      </c>
      <c r="I322" s="106">
        <f>I323+I338</f>
        <v>139031568.62</v>
      </c>
    </row>
    <row r="323" spans="1:9" ht="16.5">
      <c r="A323" s="70" t="s">
        <v>372</v>
      </c>
      <c r="B323" s="101">
        <v>701</v>
      </c>
      <c r="C323" s="105" t="s">
        <v>321</v>
      </c>
      <c r="D323" s="105" t="s">
        <v>299</v>
      </c>
      <c r="E323" s="105"/>
      <c r="F323" s="105"/>
      <c r="G323" s="106">
        <f>G324+G333</f>
        <v>176657619.07999998</v>
      </c>
      <c r="H323" s="106">
        <f>H324+H333</f>
        <v>130072363.33999999</v>
      </c>
      <c r="I323" s="106">
        <f>I324+I333</f>
        <v>131031568.61999999</v>
      </c>
    </row>
    <row r="324" spans="1:9" ht="33.75">
      <c r="A324" s="70" t="s">
        <v>267</v>
      </c>
      <c r="B324" s="101">
        <v>701</v>
      </c>
      <c r="C324" s="105" t="s">
        <v>321</v>
      </c>
      <c r="D324" s="105" t="s">
        <v>299</v>
      </c>
      <c r="E324" s="105" t="s">
        <v>268</v>
      </c>
      <c r="F324" s="105"/>
      <c r="G324" s="106">
        <f>G325+G330</f>
        <v>135482556.88</v>
      </c>
      <c r="H324" s="106">
        <f>H325+H330</f>
        <v>130072363.33999999</v>
      </c>
      <c r="I324" s="106">
        <f>I325+I330</f>
        <v>131031568.61999999</v>
      </c>
    </row>
    <row r="325" spans="1:9" ht="16.5">
      <c r="A325" s="48" t="s">
        <v>184</v>
      </c>
      <c r="B325" s="101">
        <v>701</v>
      </c>
      <c r="C325" s="107" t="s">
        <v>321</v>
      </c>
      <c r="D325" s="107" t="s">
        <v>299</v>
      </c>
      <c r="E325" s="107" t="s">
        <v>269</v>
      </c>
      <c r="F325" s="107"/>
      <c r="G325" s="108">
        <f>SUM(G326:G329)</f>
        <v>127982556.88</v>
      </c>
      <c r="H325" s="108">
        <f>SUM(H326:H329)</f>
        <v>122072363.33999999</v>
      </c>
      <c r="I325" s="108">
        <f>SUM(I326:I329)</f>
        <v>123031568.61999999</v>
      </c>
    </row>
    <row r="326" spans="1:9" ht="67.5">
      <c r="A326" s="48" t="s">
        <v>186</v>
      </c>
      <c r="B326" s="101">
        <v>701</v>
      </c>
      <c r="C326" s="107" t="s">
        <v>321</v>
      </c>
      <c r="D326" s="107" t="s">
        <v>299</v>
      </c>
      <c r="E326" s="107" t="s">
        <v>269</v>
      </c>
      <c r="F326" s="107" t="s">
        <v>221</v>
      </c>
      <c r="G326" s="108">
        <f>'Приложение 4'!F325</f>
        <v>98332282.53</v>
      </c>
      <c r="H326" s="108">
        <f>'Приложение 4'!G325</f>
        <v>93985125.77</v>
      </c>
      <c r="I326" s="108">
        <f>'Приложение 4'!H325</f>
        <v>93985125.77</v>
      </c>
    </row>
    <row r="327" spans="1:9" ht="33.75">
      <c r="A327" s="48" t="s">
        <v>187</v>
      </c>
      <c r="B327" s="101">
        <v>701</v>
      </c>
      <c r="C327" s="107" t="s">
        <v>321</v>
      </c>
      <c r="D327" s="107" t="s">
        <v>299</v>
      </c>
      <c r="E327" s="107" t="s">
        <v>269</v>
      </c>
      <c r="F327" s="107" t="s">
        <v>244</v>
      </c>
      <c r="G327" s="108">
        <f>'Приложение 4'!F326</f>
        <v>26553297.24</v>
      </c>
      <c r="H327" s="108">
        <f>'Приложение 4'!G326</f>
        <v>24990260.46</v>
      </c>
      <c r="I327" s="108">
        <f>'Приложение 4'!H326</f>
        <v>25949465.74</v>
      </c>
    </row>
    <row r="328" spans="1:9" ht="16.5">
      <c r="A328" s="48" t="s">
        <v>188</v>
      </c>
      <c r="B328" s="101">
        <v>701</v>
      </c>
      <c r="C328" s="107" t="s">
        <v>321</v>
      </c>
      <c r="D328" s="107" t="s">
        <v>299</v>
      </c>
      <c r="E328" s="107" t="s">
        <v>269</v>
      </c>
      <c r="F328" s="107" t="s">
        <v>249</v>
      </c>
      <c r="G328" s="108">
        <f>'Приложение 4'!F327</f>
        <v>0</v>
      </c>
      <c r="H328" s="108">
        <f>'Приложение 4'!G327</f>
        <v>0</v>
      </c>
      <c r="I328" s="108">
        <f>'Приложение 4'!H327</f>
        <v>0</v>
      </c>
    </row>
    <row r="329" spans="1:9" ht="16.5">
      <c r="A329" s="48" t="s">
        <v>189</v>
      </c>
      <c r="B329" s="101">
        <v>701</v>
      </c>
      <c r="C329" s="107" t="s">
        <v>321</v>
      </c>
      <c r="D329" s="107" t="s">
        <v>299</v>
      </c>
      <c r="E329" s="107" t="s">
        <v>269</v>
      </c>
      <c r="F329" s="107" t="s">
        <v>223</v>
      </c>
      <c r="G329" s="108">
        <f>'Приложение 4'!F328</f>
        <v>3096977.11</v>
      </c>
      <c r="H329" s="108">
        <f>'Приложение 4'!G328</f>
        <v>3096977.11</v>
      </c>
      <c r="I329" s="108">
        <f>'Приложение 4'!H328</f>
        <v>3096977.11</v>
      </c>
    </row>
    <row r="330" spans="1:9" ht="16.5">
      <c r="A330" s="48" t="s">
        <v>272</v>
      </c>
      <c r="B330" s="101">
        <v>701</v>
      </c>
      <c r="C330" s="107" t="s">
        <v>321</v>
      </c>
      <c r="D330" s="107" t="s">
        <v>299</v>
      </c>
      <c r="E330" s="107" t="s">
        <v>273</v>
      </c>
      <c r="F330" s="107"/>
      <c r="G330" s="108">
        <f>SUM(G331:G332)</f>
        <v>7500000</v>
      </c>
      <c r="H330" s="108">
        <f>SUM(H331:H332)</f>
        <v>8000000</v>
      </c>
      <c r="I330" s="108">
        <f>SUM(I331:I332)</f>
        <v>8000000</v>
      </c>
    </row>
    <row r="331" spans="1:9" ht="67.5">
      <c r="A331" s="48" t="s">
        <v>186</v>
      </c>
      <c r="B331" s="101">
        <v>701</v>
      </c>
      <c r="C331" s="107" t="s">
        <v>321</v>
      </c>
      <c r="D331" s="107" t="s">
        <v>299</v>
      </c>
      <c r="E331" s="107" t="s">
        <v>273</v>
      </c>
      <c r="F331" s="107" t="s">
        <v>221</v>
      </c>
      <c r="G331" s="108">
        <f>'Приложение 4'!F330</f>
        <v>940000</v>
      </c>
      <c r="H331" s="108">
        <f>'Приложение 4'!G330</f>
        <v>2240000</v>
      </c>
      <c r="I331" s="108">
        <f>'Приложение 4'!H330</f>
        <v>2240000</v>
      </c>
    </row>
    <row r="332" spans="1:9" ht="33.75">
      <c r="A332" s="48" t="s">
        <v>187</v>
      </c>
      <c r="B332" s="101">
        <v>701</v>
      </c>
      <c r="C332" s="107" t="s">
        <v>321</v>
      </c>
      <c r="D332" s="107" t="s">
        <v>299</v>
      </c>
      <c r="E332" s="107" t="s">
        <v>273</v>
      </c>
      <c r="F332" s="107" t="s">
        <v>244</v>
      </c>
      <c r="G332" s="108">
        <f>'Приложение 4'!F331</f>
        <v>6560000</v>
      </c>
      <c r="H332" s="108">
        <f>'Приложение 4'!G331</f>
        <v>5760000</v>
      </c>
      <c r="I332" s="108">
        <f>'Приложение 4'!H331</f>
        <v>5760000</v>
      </c>
    </row>
    <row r="333" spans="1:9" s="37" customFormat="1" ht="16.5">
      <c r="A333" s="70" t="s">
        <v>302</v>
      </c>
      <c r="B333" s="101">
        <v>701</v>
      </c>
      <c r="C333" s="105" t="s">
        <v>321</v>
      </c>
      <c r="D333" s="105" t="s">
        <v>299</v>
      </c>
      <c r="E333" s="105" t="s">
        <v>303</v>
      </c>
      <c r="F333" s="105"/>
      <c r="G333" s="106">
        <f>G334</f>
        <v>41175062.2</v>
      </c>
      <c r="H333" s="106">
        <f>H334</f>
        <v>0</v>
      </c>
      <c r="I333" s="106">
        <f>I334</f>
        <v>0</v>
      </c>
    </row>
    <row r="334" spans="1:9" ht="16.5">
      <c r="A334" s="48" t="s">
        <v>322</v>
      </c>
      <c r="B334" s="101">
        <v>701</v>
      </c>
      <c r="C334" s="107" t="s">
        <v>321</v>
      </c>
      <c r="D334" s="107" t="s">
        <v>299</v>
      </c>
      <c r="E334" s="107" t="s">
        <v>323</v>
      </c>
      <c r="F334" s="107"/>
      <c r="G334" s="108">
        <f>SUM(G335:G337)</f>
        <v>41175062.2</v>
      </c>
      <c r="H334" s="108">
        <f>SUM(H335:H337)</f>
        <v>0</v>
      </c>
      <c r="I334" s="108">
        <f>SUM(I335:I337)</f>
        <v>0</v>
      </c>
    </row>
    <row r="335" spans="1:9" ht="33.75">
      <c r="A335" s="48" t="s">
        <v>187</v>
      </c>
      <c r="B335" s="101">
        <v>701</v>
      </c>
      <c r="C335" s="107" t="s">
        <v>321</v>
      </c>
      <c r="D335" s="107" t="s">
        <v>299</v>
      </c>
      <c r="E335" s="107" t="s">
        <v>323</v>
      </c>
      <c r="F335" s="107" t="s">
        <v>244</v>
      </c>
      <c r="G335" s="108">
        <f>'Приложение 4'!F334</f>
        <v>39514008</v>
      </c>
      <c r="H335" s="108">
        <v>0</v>
      </c>
      <c r="I335" s="108">
        <v>0</v>
      </c>
    </row>
    <row r="336" spans="1:9" ht="16.5">
      <c r="A336" s="48" t="s">
        <v>188</v>
      </c>
      <c r="B336" s="101">
        <v>701</v>
      </c>
      <c r="C336" s="107" t="s">
        <v>321</v>
      </c>
      <c r="D336" s="107" t="s">
        <v>299</v>
      </c>
      <c r="E336" s="107" t="s">
        <v>323</v>
      </c>
      <c r="F336" s="107" t="s">
        <v>249</v>
      </c>
      <c r="G336" s="108">
        <f>'Приложение 4'!F335</f>
        <v>988873</v>
      </c>
      <c r="H336" s="108">
        <f>'Приложение 4'!G335</f>
        <v>0</v>
      </c>
      <c r="I336" s="108">
        <f>'Приложение 4'!H335</f>
        <v>0</v>
      </c>
    </row>
    <row r="337" spans="1:9" ht="33.75">
      <c r="A337" s="48" t="s">
        <v>212</v>
      </c>
      <c r="B337" s="101">
        <v>701</v>
      </c>
      <c r="C337" s="107" t="s">
        <v>321</v>
      </c>
      <c r="D337" s="107" t="s">
        <v>299</v>
      </c>
      <c r="E337" s="107" t="s">
        <v>323</v>
      </c>
      <c r="F337" s="107" t="s">
        <v>258</v>
      </c>
      <c r="G337" s="108">
        <f>'Приложение 4'!F336</f>
        <v>672181.2</v>
      </c>
      <c r="H337" s="108">
        <v>0</v>
      </c>
      <c r="I337" s="108">
        <v>0</v>
      </c>
    </row>
    <row r="338" spans="1:9" ht="16.5">
      <c r="A338" s="70" t="s">
        <v>416</v>
      </c>
      <c r="B338" s="101">
        <v>701</v>
      </c>
      <c r="C338" s="105" t="s">
        <v>321</v>
      </c>
      <c r="D338" s="105" t="s">
        <v>301</v>
      </c>
      <c r="E338" s="105"/>
      <c r="F338" s="105"/>
      <c r="G338" s="106">
        <f aca="true" t="shared" si="27" ref="G338:I339">G339</f>
        <v>8500000</v>
      </c>
      <c r="H338" s="106">
        <f t="shared" si="27"/>
        <v>8000000</v>
      </c>
      <c r="I338" s="106">
        <f t="shared" si="27"/>
        <v>8000000</v>
      </c>
    </row>
    <row r="339" spans="1:9" s="37" customFormat="1" ht="33.75">
      <c r="A339" s="70" t="s">
        <v>267</v>
      </c>
      <c r="B339" s="101">
        <v>701</v>
      </c>
      <c r="C339" s="105" t="s">
        <v>321</v>
      </c>
      <c r="D339" s="105" t="s">
        <v>301</v>
      </c>
      <c r="E339" s="105" t="s">
        <v>268</v>
      </c>
      <c r="F339" s="105"/>
      <c r="G339" s="106">
        <f t="shared" si="27"/>
        <v>8500000</v>
      </c>
      <c r="H339" s="106">
        <f t="shared" si="27"/>
        <v>8000000</v>
      </c>
      <c r="I339" s="106">
        <f t="shared" si="27"/>
        <v>8000000</v>
      </c>
    </row>
    <row r="340" spans="1:9" ht="16.5">
      <c r="A340" s="48" t="s">
        <v>270</v>
      </c>
      <c r="B340" s="101">
        <v>701</v>
      </c>
      <c r="C340" s="107" t="s">
        <v>321</v>
      </c>
      <c r="D340" s="107" t="s">
        <v>301</v>
      </c>
      <c r="E340" s="107" t="s">
        <v>271</v>
      </c>
      <c r="F340" s="107"/>
      <c r="G340" s="108">
        <f>SUM(G341:G342)</f>
        <v>8500000</v>
      </c>
      <c r="H340" s="108">
        <f>SUM(H341:H342)</f>
        <v>8000000</v>
      </c>
      <c r="I340" s="108">
        <f>SUM(I341:I342)</f>
        <v>8000000</v>
      </c>
    </row>
    <row r="341" spans="1:9" ht="67.5">
      <c r="A341" s="48" t="s">
        <v>186</v>
      </c>
      <c r="B341" s="101">
        <v>701</v>
      </c>
      <c r="C341" s="107" t="s">
        <v>321</v>
      </c>
      <c r="D341" s="107" t="s">
        <v>301</v>
      </c>
      <c r="E341" s="107" t="s">
        <v>271</v>
      </c>
      <c r="F341" s="107" t="s">
        <v>221</v>
      </c>
      <c r="G341" s="108">
        <f>'Приложение 4'!F340</f>
        <v>920000</v>
      </c>
      <c r="H341" s="108">
        <f>'Приложение 4'!G340</f>
        <v>2120000</v>
      </c>
      <c r="I341" s="108">
        <f>'Приложение 4'!H340</f>
        <v>2120000</v>
      </c>
    </row>
    <row r="342" spans="1:9" ht="33.75">
      <c r="A342" s="48" t="s">
        <v>187</v>
      </c>
      <c r="B342" s="101">
        <v>701</v>
      </c>
      <c r="C342" s="107" t="s">
        <v>321</v>
      </c>
      <c r="D342" s="107" t="s">
        <v>301</v>
      </c>
      <c r="E342" s="107" t="s">
        <v>271</v>
      </c>
      <c r="F342" s="107" t="s">
        <v>244</v>
      </c>
      <c r="G342" s="108">
        <f>'Приложение 4'!F341</f>
        <v>7580000</v>
      </c>
      <c r="H342" s="108">
        <f>'Приложение 4'!G341</f>
        <v>5880000</v>
      </c>
      <c r="I342" s="108">
        <f>'Приложение 4'!H341</f>
        <v>5880000</v>
      </c>
    </row>
    <row r="343" spans="1:9" ht="51">
      <c r="A343" s="118" t="s">
        <v>375</v>
      </c>
      <c r="B343" s="101">
        <v>701</v>
      </c>
      <c r="C343" s="161" t="s">
        <v>376</v>
      </c>
      <c r="D343" s="161"/>
      <c r="E343" s="161"/>
      <c r="F343" s="162"/>
      <c r="G343" s="120">
        <f aca="true" t="shared" si="28" ref="G343:I346">G344</f>
        <v>461564467.12</v>
      </c>
      <c r="H343" s="120">
        <f t="shared" si="28"/>
        <v>0</v>
      </c>
      <c r="I343" s="120">
        <f t="shared" si="28"/>
        <v>0</v>
      </c>
    </row>
    <row r="344" spans="1:9" ht="16.5">
      <c r="A344" s="121" t="s">
        <v>377</v>
      </c>
      <c r="B344" s="101">
        <v>701</v>
      </c>
      <c r="C344" s="161" t="s">
        <v>376</v>
      </c>
      <c r="D344" s="161" t="s">
        <v>309</v>
      </c>
      <c r="E344" s="161"/>
      <c r="F344" s="162"/>
      <c r="G344" s="120">
        <f t="shared" si="28"/>
        <v>461564467.12</v>
      </c>
      <c r="H344" s="120">
        <f t="shared" si="28"/>
        <v>0</v>
      </c>
      <c r="I344" s="120">
        <f t="shared" si="28"/>
        <v>0</v>
      </c>
    </row>
    <row r="345" spans="1:9" ht="16.5">
      <c r="A345" s="70" t="s">
        <v>302</v>
      </c>
      <c r="B345" s="101">
        <v>701</v>
      </c>
      <c r="C345" s="161" t="s">
        <v>376</v>
      </c>
      <c r="D345" s="161" t="s">
        <v>309</v>
      </c>
      <c r="E345" s="161" t="s">
        <v>303</v>
      </c>
      <c r="F345" s="162"/>
      <c r="G345" s="120">
        <f t="shared" si="28"/>
        <v>461564467.12</v>
      </c>
      <c r="H345" s="120">
        <f t="shared" si="28"/>
        <v>0</v>
      </c>
      <c r="I345" s="120">
        <f t="shared" si="28"/>
        <v>0</v>
      </c>
    </row>
    <row r="346" spans="1:9" ht="16.5">
      <c r="A346" s="48" t="s">
        <v>378</v>
      </c>
      <c r="B346" s="101">
        <v>701</v>
      </c>
      <c r="C346" s="161" t="s">
        <v>376</v>
      </c>
      <c r="D346" s="161" t="s">
        <v>309</v>
      </c>
      <c r="E346" s="161" t="s">
        <v>379</v>
      </c>
      <c r="F346" s="162"/>
      <c r="G346" s="120">
        <f t="shared" si="28"/>
        <v>461564467.12</v>
      </c>
      <c r="H346" s="120">
        <f t="shared" si="28"/>
        <v>0</v>
      </c>
      <c r="I346" s="120">
        <f t="shared" si="28"/>
        <v>0</v>
      </c>
    </row>
    <row r="347" spans="1:9" ht="16.5">
      <c r="A347" s="163" t="s">
        <v>378</v>
      </c>
      <c r="B347" s="101">
        <v>701</v>
      </c>
      <c r="C347" s="164" t="s">
        <v>376</v>
      </c>
      <c r="D347" s="164" t="s">
        <v>309</v>
      </c>
      <c r="E347" s="164" t="s">
        <v>379</v>
      </c>
      <c r="F347" s="165" t="s">
        <v>382</v>
      </c>
      <c r="G347" s="17">
        <f>'Приложение 4'!F346</f>
        <v>461564467.12</v>
      </c>
      <c r="H347" s="17">
        <f>'Приложение 4'!G346</f>
        <v>0</v>
      </c>
      <c r="I347" s="17">
        <f>'Приложение 4'!H346</f>
        <v>0</v>
      </c>
    </row>
  </sheetData>
  <sheetProtection/>
  <autoFilter ref="A15:I347"/>
  <mergeCells count="5">
    <mergeCell ref="A12:I12"/>
    <mergeCell ref="H3:I3"/>
    <mergeCell ref="H4:I4"/>
    <mergeCell ref="H5:I5"/>
    <mergeCell ref="H7:I7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portrait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3"/>
  <sheetViews>
    <sheetView zoomScalePageLayoutView="0" workbookViewId="0" topLeftCell="A1">
      <selection activeCell="I3" sqref="I3:J7"/>
    </sheetView>
  </sheetViews>
  <sheetFormatPr defaultColWidth="8.8515625" defaultRowHeight="15"/>
  <cols>
    <col min="1" max="1" width="67.140625" style="264" customWidth="1"/>
    <col min="2" max="2" width="8.140625" style="264" customWidth="1"/>
    <col min="3" max="3" width="6.140625" style="264" customWidth="1"/>
    <col min="4" max="4" width="6.421875" style="264" customWidth="1"/>
    <col min="5" max="5" width="15.421875" style="265" customWidth="1"/>
    <col min="6" max="6" width="7.00390625" style="264" customWidth="1"/>
    <col min="7" max="7" width="14.421875" style="264" customWidth="1"/>
    <col min="8" max="8" width="20.8515625" style="246" customWidth="1"/>
    <col min="9" max="10" width="21.7109375" style="246" customWidth="1"/>
    <col min="11" max="11" width="9.140625" style="264" customWidth="1"/>
    <col min="12" max="12" width="16.00390625" style="246" bestFit="1" customWidth="1"/>
    <col min="13" max="13" width="19.28125" style="246" bestFit="1" customWidth="1"/>
    <col min="14" max="15" width="28.28125" style="246" customWidth="1"/>
    <col min="16" max="17" width="9.140625" style="246" customWidth="1"/>
    <col min="18" max="233" width="9.140625" style="264" customWidth="1"/>
    <col min="234" max="234" width="71.421875" style="264" customWidth="1"/>
    <col min="235" max="235" width="6.140625" style="264" customWidth="1"/>
    <col min="236" max="236" width="7.421875" style="264" bestFit="1" customWidth="1"/>
    <col min="237" max="237" width="16.421875" style="264" customWidth="1"/>
    <col min="238" max="238" width="8.140625" style="264" bestFit="1" customWidth="1"/>
    <col min="239" max="239" width="19.28125" style="264" customWidth="1"/>
    <col min="240" max="241" width="0" style="264" hidden="1" customWidth="1"/>
    <col min="242" max="242" width="15.421875" style="264" bestFit="1" customWidth="1"/>
    <col min="243" max="243" width="15.00390625" style="264" bestFit="1" customWidth="1"/>
    <col min="244" max="244" width="15.00390625" style="264" customWidth="1"/>
    <col min="245" max="245" width="9.7109375" style="264" bestFit="1" customWidth="1"/>
    <col min="246" max="16384" width="9.140625" style="264" customWidth="1"/>
  </cols>
  <sheetData>
    <row r="2" spans="9:10" ht="18">
      <c r="I2" s="370" t="s">
        <v>287</v>
      </c>
      <c r="J2" s="363"/>
    </row>
    <row r="3" spans="9:10" ht="15.75">
      <c r="I3" s="377" t="s">
        <v>772</v>
      </c>
      <c r="J3" s="377"/>
    </row>
    <row r="4" spans="9:10" ht="15.75">
      <c r="I4" s="377" t="s">
        <v>17</v>
      </c>
      <c r="J4" s="377"/>
    </row>
    <row r="5" spans="9:10" ht="15.75">
      <c r="I5" s="377" t="s">
        <v>18</v>
      </c>
      <c r="J5" s="377"/>
    </row>
    <row r="6" spans="9:10" ht="15.75">
      <c r="I6" s="371" t="s">
        <v>773</v>
      </c>
      <c r="J6" s="371"/>
    </row>
    <row r="7" spans="9:10" ht="15.75">
      <c r="I7" s="377" t="s">
        <v>774</v>
      </c>
      <c r="J7" s="377"/>
    </row>
    <row r="8" spans="9:10" ht="18">
      <c r="I8" s="366"/>
      <c r="J8" s="127"/>
    </row>
    <row r="9" ht="15.75" customHeight="1"/>
    <row r="10" spans="1:10" ht="42" customHeight="1">
      <c r="A10" s="382" t="s">
        <v>451</v>
      </c>
      <c r="B10" s="382"/>
      <c r="C10" s="382"/>
      <c r="D10" s="382"/>
      <c r="E10" s="382"/>
      <c r="F10" s="382"/>
      <c r="G10" s="382"/>
      <c r="H10" s="382"/>
      <c r="I10" s="382"/>
      <c r="J10" s="382"/>
    </row>
    <row r="11" ht="15.75">
      <c r="J11" s="266" t="s">
        <v>422</v>
      </c>
    </row>
    <row r="12" spans="1:10" ht="51">
      <c r="A12" s="32" t="s">
        <v>20</v>
      </c>
      <c r="B12" s="32" t="s">
        <v>423</v>
      </c>
      <c r="C12" s="32" t="s">
        <v>295</v>
      </c>
      <c r="D12" s="32" t="s">
        <v>424</v>
      </c>
      <c r="E12" s="32" t="s">
        <v>425</v>
      </c>
      <c r="F12" s="58" t="s">
        <v>180</v>
      </c>
      <c r="G12" s="58" t="s">
        <v>426</v>
      </c>
      <c r="H12" s="33" t="s">
        <v>21</v>
      </c>
      <c r="I12" s="33" t="s">
        <v>22</v>
      </c>
      <c r="J12" s="33" t="s">
        <v>166</v>
      </c>
    </row>
    <row r="13" spans="1:17" s="269" customFormat="1" ht="16.5">
      <c r="A13" s="268" t="s">
        <v>427</v>
      </c>
      <c r="B13" s="35"/>
      <c r="C13" s="35"/>
      <c r="D13" s="35"/>
      <c r="E13" s="35"/>
      <c r="F13" s="168"/>
      <c r="G13" s="168"/>
      <c r="H13" s="36">
        <f>H14</f>
        <v>1903248207.1399999</v>
      </c>
      <c r="I13" s="36">
        <f>I14</f>
        <v>1502544051.56</v>
      </c>
      <c r="J13" s="36">
        <f>J14</f>
        <v>1519502028.89</v>
      </c>
      <c r="L13" s="270"/>
      <c r="M13" s="270"/>
      <c r="N13" s="270"/>
      <c r="O13" s="270"/>
      <c r="P13" s="270"/>
      <c r="Q13" s="270"/>
    </row>
    <row r="14" spans="1:10" ht="33.75">
      <c r="A14" s="268" t="s">
        <v>417</v>
      </c>
      <c r="B14" s="35">
        <v>701</v>
      </c>
      <c r="C14" s="35"/>
      <c r="D14" s="35"/>
      <c r="E14" s="35"/>
      <c r="F14" s="168"/>
      <c r="G14" s="168"/>
      <c r="H14" s="36">
        <f>H15+H57+H63+H95+H171+H188+H238+H248</f>
        <v>1903248207.1399999</v>
      </c>
      <c r="I14" s="36">
        <f>I15+I57+I63+I95+I171+I188+I238+I248</f>
        <v>1502544051.56</v>
      </c>
      <c r="J14" s="36">
        <f>J15+J57+J63+J95+J171+J188+J238+J248</f>
        <v>1519502028.89</v>
      </c>
    </row>
    <row r="15" spans="1:10" ht="16.5">
      <c r="A15" s="271" t="s">
        <v>298</v>
      </c>
      <c r="B15" s="247" t="s">
        <v>0</v>
      </c>
      <c r="C15" s="63" t="s">
        <v>299</v>
      </c>
      <c r="D15" s="63"/>
      <c r="E15" s="35"/>
      <c r="F15" s="168"/>
      <c r="G15" s="168"/>
      <c r="H15" s="36">
        <f>H16+H26+H31+H22</f>
        <v>16541149.090000002</v>
      </c>
      <c r="I15" s="36">
        <f>I16+I26+I31+I22</f>
        <v>3755853.63</v>
      </c>
      <c r="J15" s="36">
        <f>J16+J26+J31+J22</f>
        <v>3755853.63</v>
      </c>
    </row>
    <row r="16" spans="1:10" ht="51">
      <c r="A16" s="272" t="s">
        <v>312</v>
      </c>
      <c r="B16" s="248" t="s">
        <v>0</v>
      </c>
      <c r="C16" s="63" t="s">
        <v>299</v>
      </c>
      <c r="D16" s="71" t="s">
        <v>313</v>
      </c>
      <c r="E16" s="71"/>
      <c r="F16" s="170"/>
      <c r="G16" s="170"/>
      <c r="H16" s="36">
        <f>H17</f>
        <v>2862558.2800000003</v>
      </c>
      <c r="I16" s="36">
        <f aca="true" t="shared" si="0" ref="I16:J18">I17</f>
        <v>0</v>
      </c>
      <c r="J16" s="36">
        <f t="shared" si="0"/>
        <v>0</v>
      </c>
    </row>
    <row r="17" spans="1:10" ht="16.5">
      <c r="A17" s="273" t="s">
        <v>302</v>
      </c>
      <c r="B17" s="171" t="s">
        <v>0</v>
      </c>
      <c r="C17" s="63" t="s">
        <v>299</v>
      </c>
      <c r="D17" s="71" t="s">
        <v>313</v>
      </c>
      <c r="E17" s="71" t="s">
        <v>303</v>
      </c>
      <c r="F17" s="170"/>
      <c r="G17" s="170"/>
      <c r="H17" s="36">
        <f>H18</f>
        <v>2862558.2800000003</v>
      </c>
      <c r="I17" s="36">
        <f t="shared" si="0"/>
        <v>0</v>
      </c>
      <c r="J17" s="36">
        <f t="shared" si="0"/>
        <v>0</v>
      </c>
    </row>
    <row r="18" spans="1:10" ht="33.75">
      <c r="A18" s="274" t="s">
        <v>428</v>
      </c>
      <c r="B18" s="172" t="s">
        <v>0</v>
      </c>
      <c r="C18" s="47" t="s">
        <v>299</v>
      </c>
      <c r="D18" s="72" t="s">
        <v>313</v>
      </c>
      <c r="E18" s="72" t="s">
        <v>305</v>
      </c>
      <c r="F18" s="173"/>
      <c r="G18" s="173"/>
      <c r="H18" s="174">
        <f>H19</f>
        <v>2862558.2800000003</v>
      </c>
      <c r="I18" s="174">
        <f t="shared" si="0"/>
        <v>0</v>
      </c>
      <c r="J18" s="174">
        <f t="shared" si="0"/>
        <v>0</v>
      </c>
    </row>
    <row r="19" spans="1:10" ht="16.5">
      <c r="A19" s="274" t="s">
        <v>314</v>
      </c>
      <c r="B19" s="172" t="s">
        <v>0</v>
      </c>
      <c r="C19" s="72" t="s">
        <v>299</v>
      </c>
      <c r="D19" s="72" t="s">
        <v>313</v>
      </c>
      <c r="E19" s="72" t="s">
        <v>315</v>
      </c>
      <c r="F19" s="173"/>
      <c r="G19" s="173"/>
      <c r="H19" s="174">
        <f>H20+H21</f>
        <v>2862558.2800000003</v>
      </c>
      <c r="I19" s="174">
        <f>I20+I21</f>
        <v>0</v>
      </c>
      <c r="J19" s="174">
        <f>J20+J21</f>
        <v>0</v>
      </c>
    </row>
    <row r="20" spans="1:10" ht="67.5">
      <c r="A20" s="274" t="s">
        <v>186</v>
      </c>
      <c r="B20" s="172" t="s">
        <v>0</v>
      </c>
      <c r="C20" s="47" t="s">
        <v>299</v>
      </c>
      <c r="D20" s="72" t="s">
        <v>313</v>
      </c>
      <c r="E20" s="72" t="s">
        <v>315</v>
      </c>
      <c r="F20" s="173" t="s">
        <v>221</v>
      </c>
      <c r="G20" s="249" t="s">
        <v>429</v>
      </c>
      <c r="H20" s="174">
        <v>2657289.52</v>
      </c>
      <c r="I20" s="18">
        <v>0</v>
      </c>
      <c r="J20" s="18">
        <v>0</v>
      </c>
    </row>
    <row r="21" spans="1:10" ht="33.75">
      <c r="A21" s="274" t="s">
        <v>430</v>
      </c>
      <c r="B21" s="172" t="s">
        <v>0</v>
      </c>
      <c r="C21" s="72" t="s">
        <v>299</v>
      </c>
      <c r="D21" s="72" t="s">
        <v>313</v>
      </c>
      <c r="E21" s="72" t="s">
        <v>315</v>
      </c>
      <c r="F21" s="173" t="s">
        <v>244</v>
      </c>
      <c r="G21" s="249" t="s">
        <v>429</v>
      </c>
      <c r="H21" s="174">
        <v>205268.76</v>
      </c>
      <c r="I21" s="18">
        <v>0</v>
      </c>
      <c r="J21" s="18">
        <v>0</v>
      </c>
    </row>
    <row r="22" spans="1:17" s="269" customFormat="1" ht="16.5">
      <c r="A22" s="273" t="s">
        <v>431</v>
      </c>
      <c r="B22" s="172" t="s">
        <v>0</v>
      </c>
      <c r="C22" s="71" t="s">
        <v>299</v>
      </c>
      <c r="D22" s="71" t="s">
        <v>342</v>
      </c>
      <c r="E22" s="71"/>
      <c r="F22" s="175"/>
      <c r="G22" s="175"/>
      <c r="H22" s="36">
        <f>H23</f>
        <v>113094.63</v>
      </c>
      <c r="I22" s="36">
        <f aca="true" t="shared" si="1" ref="I22:J24">I23</f>
        <v>0</v>
      </c>
      <c r="J22" s="36">
        <f t="shared" si="1"/>
        <v>0</v>
      </c>
      <c r="L22" s="270"/>
      <c r="M22" s="270"/>
      <c r="N22" s="270"/>
      <c r="O22" s="270"/>
      <c r="P22" s="270"/>
      <c r="Q22" s="270"/>
    </row>
    <row r="23" spans="1:17" s="269" customFormat="1" ht="16.5">
      <c r="A23" s="273" t="s">
        <v>302</v>
      </c>
      <c r="B23" s="171" t="s">
        <v>0</v>
      </c>
      <c r="C23" s="71" t="s">
        <v>299</v>
      </c>
      <c r="D23" s="71" t="s">
        <v>342</v>
      </c>
      <c r="E23" s="71" t="s">
        <v>303</v>
      </c>
      <c r="F23" s="175"/>
      <c r="G23" s="175"/>
      <c r="H23" s="36">
        <f>H24</f>
        <v>113094.63</v>
      </c>
      <c r="I23" s="36">
        <f t="shared" si="1"/>
        <v>0</v>
      </c>
      <c r="J23" s="36">
        <f t="shared" si="1"/>
        <v>0</v>
      </c>
      <c r="L23" s="270"/>
      <c r="M23" s="270"/>
      <c r="N23" s="270"/>
      <c r="O23" s="270"/>
      <c r="P23" s="270"/>
      <c r="Q23" s="270"/>
    </row>
    <row r="24" spans="1:10" ht="51">
      <c r="A24" s="274" t="s">
        <v>432</v>
      </c>
      <c r="B24" s="172" t="s">
        <v>0</v>
      </c>
      <c r="C24" s="72" t="s">
        <v>299</v>
      </c>
      <c r="D24" s="72" t="s">
        <v>342</v>
      </c>
      <c r="E24" s="72" t="s">
        <v>433</v>
      </c>
      <c r="F24" s="173"/>
      <c r="G24" s="173"/>
      <c r="H24" s="174">
        <f>H25</f>
        <v>113094.63</v>
      </c>
      <c r="I24" s="174">
        <f t="shared" si="1"/>
        <v>0</v>
      </c>
      <c r="J24" s="174">
        <f t="shared" si="1"/>
        <v>0</v>
      </c>
    </row>
    <row r="25" spans="1:10" ht="33.75">
      <c r="A25" s="274" t="s">
        <v>430</v>
      </c>
      <c r="B25" s="172" t="s">
        <v>0</v>
      </c>
      <c r="C25" s="72" t="s">
        <v>299</v>
      </c>
      <c r="D25" s="72" t="s">
        <v>342</v>
      </c>
      <c r="E25" s="72" t="s">
        <v>433</v>
      </c>
      <c r="F25" s="173" t="s">
        <v>244</v>
      </c>
      <c r="G25" s="173"/>
      <c r="H25" s="174">
        <v>113094.63</v>
      </c>
      <c r="I25" s="174"/>
      <c r="J25" s="18"/>
    </row>
    <row r="26" spans="1:17" s="269" customFormat="1" ht="51">
      <c r="A26" s="273" t="s">
        <v>316</v>
      </c>
      <c r="B26" s="171" t="s">
        <v>0</v>
      </c>
      <c r="C26" s="71" t="s">
        <v>299</v>
      </c>
      <c r="D26" s="71" t="s">
        <v>317</v>
      </c>
      <c r="E26" s="71"/>
      <c r="F26" s="175"/>
      <c r="G26" s="175"/>
      <c r="H26" s="36">
        <f aca="true" t="shared" si="2" ref="H26:J29">H27</f>
        <v>584675</v>
      </c>
      <c r="I26" s="36">
        <f t="shared" si="2"/>
        <v>0</v>
      </c>
      <c r="J26" s="36">
        <f t="shared" si="2"/>
        <v>0</v>
      </c>
      <c r="L26" s="270"/>
      <c r="M26" s="270"/>
      <c r="N26" s="270"/>
      <c r="O26" s="270"/>
      <c r="P26" s="270"/>
      <c r="Q26" s="270"/>
    </row>
    <row r="27" spans="1:17" s="269" customFormat="1" ht="16.5">
      <c r="A27" s="273" t="s">
        <v>302</v>
      </c>
      <c r="B27" s="171" t="s">
        <v>0</v>
      </c>
      <c r="C27" s="71" t="s">
        <v>299</v>
      </c>
      <c r="D27" s="71" t="s">
        <v>317</v>
      </c>
      <c r="E27" s="71" t="s">
        <v>303</v>
      </c>
      <c r="F27" s="175"/>
      <c r="G27" s="175"/>
      <c r="H27" s="36">
        <f>H28</f>
        <v>584675</v>
      </c>
      <c r="I27" s="36">
        <f t="shared" si="2"/>
        <v>0</v>
      </c>
      <c r="J27" s="36">
        <f t="shared" si="2"/>
        <v>0</v>
      </c>
      <c r="L27" s="270"/>
      <c r="M27" s="270"/>
      <c r="N27" s="270"/>
      <c r="O27" s="270"/>
      <c r="P27" s="270"/>
      <c r="Q27" s="270"/>
    </row>
    <row r="28" spans="1:17" s="269" customFormat="1" ht="33.75">
      <c r="A28" s="274" t="s">
        <v>428</v>
      </c>
      <c r="B28" s="172" t="s">
        <v>0</v>
      </c>
      <c r="C28" s="72" t="s">
        <v>299</v>
      </c>
      <c r="D28" s="72" t="s">
        <v>317</v>
      </c>
      <c r="E28" s="72" t="s">
        <v>305</v>
      </c>
      <c r="F28" s="175"/>
      <c r="G28" s="175"/>
      <c r="H28" s="174">
        <f>H29</f>
        <v>584675</v>
      </c>
      <c r="I28" s="174">
        <f t="shared" si="2"/>
        <v>0</v>
      </c>
      <c r="J28" s="174">
        <f t="shared" si="2"/>
        <v>0</v>
      </c>
      <c r="L28" s="270"/>
      <c r="M28" s="270"/>
      <c r="N28" s="270"/>
      <c r="O28" s="270"/>
      <c r="P28" s="270"/>
      <c r="Q28" s="270"/>
    </row>
    <row r="29" spans="1:10" ht="16.5">
      <c r="A29" s="274" t="s">
        <v>314</v>
      </c>
      <c r="B29" s="172" t="s">
        <v>0</v>
      </c>
      <c r="C29" s="72" t="s">
        <v>299</v>
      </c>
      <c r="D29" s="72" t="s">
        <v>317</v>
      </c>
      <c r="E29" s="72" t="s">
        <v>315</v>
      </c>
      <c r="F29" s="173"/>
      <c r="G29" s="173"/>
      <c r="H29" s="174">
        <f t="shared" si="2"/>
        <v>584675</v>
      </c>
      <c r="I29" s="174">
        <f t="shared" si="2"/>
        <v>0</v>
      </c>
      <c r="J29" s="174">
        <f t="shared" si="2"/>
        <v>0</v>
      </c>
    </row>
    <row r="30" spans="1:10" ht="33.75">
      <c r="A30" s="274" t="s">
        <v>430</v>
      </c>
      <c r="B30" s="172" t="s">
        <v>0</v>
      </c>
      <c r="C30" s="72" t="s">
        <v>299</v>
      </c>
      <c r="D30" s="72" t="s">
        <v>317</v>
      </c>
      <c r="E30" s="72" t="s">
        <v>315</v>
      </c>
      <c r="F30" s="173" t="s">
        <v>244</v>
      </c>
      <c r="G30" s="249" t="s">
        <v>429</v>
      </c>
      <c r="H30" s="174">
        <v>584675</v>
      </c>
      <c r="I30" s="174">
        <v>0</v>
      </c>
      <c r="J30" s="18">
        <v>0</v>
      </c>
    </row>
    <row r="31" spans="1:10" ht="16.5">
      <c r="A31" s="275" t="s">
        <v>326</v>
      </c>
      <c r="B31" s="171" t="s">
        <v>0</v>
      </c>
      <c r="C31" s="63" t="s">
        <v>299</v>
      </c>
      <c r="D31" s="63" t="s">
        <v>327</v>
      </c>
      <c r="E31" s="35"/>
      <c r="F31" s="168"/>
      <c r="G31" s="168"/>
      <c r="H31" s="36">
        <f>H43+H36+H32</f>
        <v>12980821.18</v>
      </c>
      <c r="I31" s="36">
        <f>I43+I36+I32</f>
        <v>3755853.63</v>
      </c>
      <c r="J31" s="36">
        <f>J43+J36+J32</f>
        <v>3755853.63</v>
      </c>
    </row>
    <row r="32" spans="1:10" ht="16.5">
      <c r="A32" s="346" t="s">
        <v>254</v>
      </c>
      <c r="B32" s="171" t="s">
        <v>0</v>
      </c>
      <c r="C32" s="71" t="s">
        <v>299</v>
      </c>
      <c r="D32" s="71" t="s">
        <v>327</v>
      </c>
      <c r="E32" s="35">
        <v>2300000000</v>
      </c>
      <c r="F32" s="168"/>
      <c r="G32" s="168"/>
      <c r="H32" s="36">
        <f>H33</f>
        <v>2025466</v>
      </c>
      <c r="I32" s="36">
        <f aca="true" t="shared" si="3" ref="I32:J34">I33</f>
        <v>0</v>
      </c>
      <c r="J32" s="36">
        <f t="shared" si="3"/>
        <v>0</v>
      </c>
    </row>
    <row r="33" spans="1:10" ht="16.5">
      <c r="A33" s="345" t="s">
        <v>750</v>
      </c>
      <c r="B33" s="172" t="s">
        <v>0</v>
      </c>
      <c r="C33" s="72" t="s">
        <v>299</v>
      </c>
      <c r="D33" s="72" t="s">
        <v>327</v>
      </c>
      <c r="E33" s="32">
        <v>2330000000</v>
      </c>
      <c r="F33" s="58"/>
      <c r="G33" s="58"/>
      <c r="H33" s="174">
        <f>H34</f>
        <v>2025466</v>
      </c>
      <c r="I33" s="174">
        <f t="shared" si="3"/>
        <v>0</v>
      </c>
      <c r="J33" s="174">
        <f t="shared" si="3"/>
        <v>0</v>
      </c>
    </row>
    <row r="34" spans="1:10" ht="33.75">
      <c r="A34" s="347" t="s">
        <v>751</v>
      </c>
      <c r="B34" s="172" t="s">
        <v>0</v>
      </c>
      <c r="C34" s="72" t="s">
        <v>299</v>
      </c>
      <c r="D34" s="72" t="s">
        <v>327</v>
      </c>
      <c r="E34" s="32">
        <v>2330062210</v>
      </c>
      <c r="F34" s="58"/>
      <c r="G34" s="58"/>
      <c r="H34" s="174">
        <f>H35</f>
        <v>2025466</v>
      </c>
      <c r="I34" s="174">
        <f t="shared" si="3"/>
        <v>0</v>
      </c>
      <c r="J34" s="174">
        <f t="shared" si="3"/>
        <v>0</v>
      </c>
    </row>
    <row r="35" spans="1:10" ht="33.75">
      <c r="A35" s="274" t="s">
        <v>430</v>
      </c>
      <c r="B35" s="172" t="s">
        <v>0</v>
      </c>
      <c r="C35" s="72" t="s">
        <v>299</v>
      </c>
      <c r="D35" s="72" t="s">
        <v>327</v>
      </c>
      <c r="E35" s="32">
        <v>2330062210</v>
      </c>
      <c r="F35" s="58">
        <v>200</v>
      </c>
      <c r="G35" s="58" t="s">
        <v>449</v>
      </c>
      <c r="H35" s="174">
        <v>2025466</v>
      </c>
      <c r="I35" s="174">
        <v>0</v>
      </c>
      <c r="J35" s="174">
        <v>0</v>
      </c>
    </row>
    <row r="36" spans="1:10" ht="33.75">
      <c r="A36" s="273" t="s">
        <v>259</v>
      </c>
      <c r="B36" s="171" t="s">
        <v>0</v>
      </c>
      <c r="C36" s="71" t="s">
        <v>299</v>
      </c>
      <c r="D36" s="71" t="s">
        <v>327</v>
      </c>
      <c r="E36" s="71" t="s">
        <v>260</v>
      </c>
      <c r="F36" s="168"/>
      <c r="G36" s="168"/>
      <c r="H36" s="36">
        <f>H40+H37</f>
        <v>2376433</v>
      </c>
      <c r="I36" s="36">
        <f>I40+I37</f>
        <v>0</v>
      </c>
      <c r="J36" s="36">
        <f>J40+J37</f>
        <v>0</v>
      </c>
    </row>
    <row r="37" spans="1:10" ht="16.5">
      <c r="A37" s="48" t="s">
        <v>184</v>
      </c>
      <c r="B37" s="172" t="s">
        <v>0</v>
      </c>
      <c r="C37" s="107" t="s">
        <v>299</v>
      </c>
      <c r="D37" s="107" t="s">
        <v>327</v>
      </c>
      <c r="E37" s="107" t="s">
        <v>261</v>
      </c>
      <c r="F37" s="107"/>
      <c r="G37" s="168"/>
      <c r="H37" s="174">
        <f>H38</f>
        <v>902070</v>
      </c>
      <c r="I37" s="174">
        <f>I38</f>
        <v>0</v>
      </c>
      <c r="J37" s="174">
        <f>J38</f>
        <v>0</v>
      </c>
    </row>
    <row r="38" spans="1:10" ht="33.75">
      <c r="A38" s="48" t="s">
        <v>328</v>
      </c>
      <c r="B38" s="172" t="s">
        <v>0</v>
      </c>
      <c r="C38" s="107" t="s">
        <v>299</v>
      </c>
      <c r="D38" s="107" t="s">
        <v>327</v>
      </c>
      <c r="E38" s="107" t="s">
        <v>744</v>
      </c>
      <c r="F38" s="107"/>
      <c r="G38" s="168"/>
      <c r="H38" s="174">
        <f>H39</f>
        <v>902070</v>
      </c>
      <c r="I38" s="174">
        <f>I39</f>
        <v>0</v>
      </c>
      <c r="J38" s="174">
        <f>J39</f>
        <v>0</v>
      </c>
    </row>
    <row r="39" spans="1:10" ht="67.5">
      <c r="A39" s="48" t="s">
        <v>186</v>
      </c>
      <c r="B39" s="172" t="s">
        <v>0</v>
      </c>
      <c r="C39" s="107" t="s">
        <v>299</v>
      </c>
      <c r="D39" s="107" t="s">
        <v>327</v>
      </c>
      <c r="E39" s="107" t="s">
        <v>744</v>
      </c>
      <c r="F39" s="107" t="s">
        <v>221</v>
      </c>
      <c r="G39" s="58" t="s">
        <v>449</v>
      </c>
      <c r="H39" s="174">
        <v>902070</v>
      </c>
      <c r="I39" s="174">
        <v>0</v>
      </c>
      <c r="J39" s="174">
        <v>0</v>
      </c>
    </row>
    <row r="40" spans="1:10" ht="16.5">
      <c r="A40" s="274" t="s">
        <v>262</v>
      </c>
      <c r="B40" s="172" t="s">
        <v>0</v>
      </c>
      <c r="C40" s="72" t="s">
        <v>299</v>
      </c>
      <c r="D40" s="72" t="s">
        <v>327</v>
      </c>
      <c r="E40" s="72" t="s">
        <v>263</v>
      </c>
      <c r="F40" s="168"/>
      <c r="G40" s="168"/>
      <c r="H40" s="174">
        <f>H41</f>
        <v>1474363</v>
      </c>
      <c r="I40" s="174">
        <f>I41</f>
        <v>0</v>
      </c>
      <c r="J40" s="174">
        <f>J41</f>
        <v>0</v>
      </c>
    </row>
    <row r="41" spans="1:10" ht="67.5">
      <c r="A41" s="274" t="s">
        <v>648</v>
      </c>
      <c r="B41" s="172" t="s">
        <v>0</v>
      </c>
      <c r="C41" s="72" t="s">
        <v>299</v>
      </c>
      <c r="D41" s="72" t="s">
        <v>327</v>
      </c>
      <c r="E41" s="72" t="s">
        <v>649</v>
      </c>
      <c r="F41" s="168"/>
      <c r="G41" s="168"/>
      <c r="H41" s="174">
        <f>H42</f>
        <v>1474363</v>
      </c>
      <c r="I41" s="174">
        <f>I42</f>
        <v>0</v>
      </c>
      <c r="J41" s="174">
        <f>J42</f>
        <v>0</v>
      </c>
    </row>
    <row r="42" spans="1:10" ht="33.75">
      <c r="A42" s="274" t="s">
        <v>430</v>
      </c>
      <c r="B42" s="172" t="s">
        <v>0</v>
      </c>
      <c r="C42" s="72" t="s">
        <v>299</v>
      </c>
      <c r="D42" s="72" t="s">
        <v>327</v>
      </c>
      <c r="E42" s="72" t="s">
        <v>649</v>
      </c>
      <c r="F42" s="58">
        <v>200</v>
      </c>
      <c r="G42" s="58" t="s">
        <v>449</v>
      </c>
      <c r="H42" s="174">
        <v>1474363</v>
      </c>
      <c r="I42" s="174">
        <v>0</v>
      </c>
      <c r="J42" s="174">
        <v>0</v>
      </c>
    </row>
    <row r="43" spans="1:10" ht="16.5">
      <c r="A43" s="273" t="s">
        <v>302</v>
      </c>
      <c r="B43" s="171" t="s">
        <v>0</v>
      </c>
      <c r="C43" s="250" t="s">
        <v>299</v>
      </c>
      <c r="D43" s="250" t="s">
        <v>327</v>
      </c>
      <c r="E43" s="250" t="s">
        <v>303</v>
      </c>
      <c r="F43" s="251"/>
      <c r="G43" s="251"/>
      <c r="H43" s="252">
        <f>H47+H44</f>
        <v>8578922.18</v>
      </c>
      <c r="I43" s="252">
        <f>I47+I44</f>
        <v>3755853.63</v>
      </c>
      <c r="J43" s="252">
        <f>J47+J44</f>
        <v>3755853.63</v>
      </c>
    </row>
    <row r="44" spans="1:10" ht="33.75">
      <c r="A44" s="48" t="s">
        <v>304</v>
      </c>
      <c r="B44" s="341" t="s">
        <v>0</v>
      </c>
      <c r="C44" s="107" t="s">
        <v>299</v>
      </c>
      <c r="D44" s="107" t="s">
        <v>327</v>
      </c>
      <c r="E44" s="98">
        <v>9910000000</v>
      </c>
      <c r="F44" s="119"/>
      <c r="G44" s="342"/>
      <c r="H44" s="343">
        <f>H45</f>
        <v>4555920</v>
      </c>
      <c r="I44" s="343">
        <f>I45</f>
        <v>0</v>
      </c>
      <c r="J44" s="343">
        <f>J45</f>
        <v>0</v>
      </c>
    </row>
    <row r="45" spans="1:10" ht="33.75">
      <c r="A45" s="46" t="s">
        <v>328</v>
      </c>
      <c r="B45" s="341" t="s">
        <v>0</v>
      </c>
      <c r="C45" s="107" t="s">
        <v>299</v>
      </c>
      <c r="D45" s="107" t="s">
        <v>327</v>
      </c>
      <c r="E45" s="98">
        <v>9910022001</v>
      </c>
      <c r="F45" s="107"/>
      <c r="G45" s="342"/>
      <c r="H45" s="343">
        <f>H46</f>
        <v>4555920</v>
      </c>
      <c r="I45" s="343">
        <f>I46</f>
        <v>0</v>
      </c>
      <c r="J45" s="343">
        <f>J46</f>
        <v>0</v>
      </c>
    </row>
    <row r="46" spans="1:10" ht="67.5">
      <c r="A46" s="48" t="s">
        <v>186</v>
      </c>
      <c r="B46" s="341" t="s">
        <v>0</v>
      </c>
      <c r="C46" s="107" t="s">
        <v>299</v>
      </c>
      <c r="D46" s="107" t="s">
        <v>327</v>
      </c>
      <c r="E46" s="98">
        <v>9910022001</v>
      </c>
      <c r="F46" s="107" t="s">
        <v>221</v>
      </c>
      <c r="G46" s="342" t="s">
        <v>449</v>
      </c>
      <c r="H46" s="343">
        <v>4555920</v>
      </c>
      <c r="I46" s="343">
        <v>0</v>
      </c>
      <c r="J46" s="343">
        <v>0</v>
      </c>
    </row>
    <row r="47" spans="1:10" ht="16.5">
      <c r="A47" s="274" t="s">
        <v>322</v>
      </c>
      <c r="B47" s="172" t="s">
        <v>0</v>
      </c>
      <c r="C47" s="253" t="s">
        <v>299</v>
      </c>
      <c r="D47" s="253" t="s">
        <v>327</v>
      </c>
      <c r="E47" s="253" t="s">
        <v>323</v>
      </c>
      <c r="F47" s="249"/>
      <c r="G47" s="249"/>
      <c r="H47" s="176">
        <f>H48+H51+H54</f>
        <v>4023002.1799999997</v>
      </c>
      <c r="I47" s="176">
        <f>I48+I51+I54</f>
        <v>3755853.63</v>
      </c>
      <c r="J47" s="176">
        <f>J48+J51+J54</f>
        <v>3755853.63</v>
      </c>
    </row>
    <row r="48" spans="1:10" ht="102">
      <c r="A48" s="274" t="s">
        <v>452</v>
      </c>
      <c r="B48" s="172" t="s">
        <v>0</v>
      </c>
      <c r="C48" s="253" t="s">
        <v>299</v>
      </c>
      <c r="D48" s="253" t="s">
        <v>327</v>
      </c>
      <c r="E48" s="254" t="s">
        <v>453</v>
      </c>
      <c r="F48" s="249"/>
      <c r="G48" s="249"/>
      <c r="H48" s="176">
        <f>SUM(H49:H50)</f>
        <v>59625</v>
      </c>
      <c r="I48" s="176">
        <f>SUM(I49:I50)</f>
        <v>59625</v>
      </c>
      <c r="J48" s="176">
        <f>SUM(J49:J50)</f>
        <v>59625</v>
      </c>
    </row>
    <row r="49" spans="1:10" ht="67.5">
      <c r="A49" s="274" t="s">
        <v>186</v>
      </c>
      <c r="B49" s="172" t="s">
        <v>0</v>
      </c>
      <c r="C49" s="253" t="s">
        <v>299</v>
      </c>
      <c r="D49" s="253" t="s">
        <v>327</v>
      </c>
      <c r="E49" s="254" t="s">
        <v>453</v>
      </c>
      <c r="F49" s="249" t="s">
        <v>221</v>
      </c>
      <c r="G49" s="249" t="s">
        <v>449</v>
      </c>
      <c r="H49" s="255">
        <v>46850</v>
      </c>
      <c r="I49" s="255">
        <v>46850</v>
      </c>
      <c r="J49" s="255">
        <v>46850</v>
      </c>
    </row>
    <row r="50" spans="1:17" s="269" customFormat="1" ht="33.75">
      <c r="A50" s="274" t="s">
        <v>187</v>
      </c>
      <c r="B50" s="172" t="s">
        <v>0</v>
      </c>
      <c r="C50" s="253" t="s">
        <v>299</v>
      </c>
      <c r="D50" s="253" t="s">
        <v>327</v>
      </c>
      <c r="E50" s="254" t="s">
        <v>453</v>
      </c>
      <c r="F50" s="249" t="s">
        <v>244</v>
      </c>
      <c r="G50" s="249" t="s">
        <v>449</v>
      </c>
      <c r="H50" s="255">
        <v>12775</v>
      </c>
      <c r="I50" s="255">
        <v>12775</v>
      </c>
      <c r="J50" s="255">
        <v>12775</v>
      </c>
      <c r="L50" s="270"/>
      <c r="M50" s="270"/>
      <c r="N50" s="270"/>
      <c r="O50" s="270"/>
      <c r="P50" s="270"/>
      <c r="Q50" s="270"/>
    </row>
    <row r="51" spans="1:10" ht="33.75">
      <c r="A51" s="274" t="s">
        <v>454</v>
      </c>
      <c r="B51" s="172" t="s">
        <v>0</v>
      </c>
      <c r="C51" s="253" t="s">
        <v>299</v>
      </c>
      <c r="D51" s="253" t="s">
        <v>327</v>
      </c>
      <c r="E51" s="254" t="s">
        <v>434</v>
      </c>
      <c r="F51" s="249"/>
      <c r="G51" s="249"/>
      <c r="H51" s="255">
        <f>SUM(H52:H53)</f>
        <v>2513387.3</v>
      </c>
      <c r="I51" s="255">
        <f>SUM(I52:I53)</f>
        <v>2349490</v>
      </c>
      <c r="J51" s="255">
        <f>SUM(J52:J53)</f>
        <v>2349490</v>
      </c>
    </row>
    <row r="52" spans="1:10" ht="67.5">
      <c r="A52" s="274" t="s">
        <v>186</v>
      </c>
      <c r="B52" s="172" t="s">
        <v>0</v>
      </c>
      <c r="C52" s="253" t="s">
        <v>299</v>
      </c>
      <c r="D52" s="253" t="s">
        <v>327</v>
      </c>
      <c r="E52" s="254" t="s">
        <v>434</v>
      </c>
      <c r="F52" s="249" t="s">
        <v>221</v>
      </c>
      <c r="G52" s="249" t="s">
        <v>449</v>
      </c>
      <c r="H52" s="255">
        <f>2371252-23695-82000</f>
        <v>2265557</v>
      </c>
      <c r="I52" s="255">
        <v>2250062</v>
      </c>
      <c r="J52" s="255">
        <v>2259545</v>
      </c>
    </row>
    <row r="53" spans="1:10" ht="33.75">
      <c r="A53" s="274" t="s">
        <v>187</v>
      </c>
      <c r="B53" s="172" t="s">
        <v>0</v>
      </c>
      <c r="C53" s="253" t="s">
        <v>299</v>
      </c>
      <c r="D53" s="253" t="s">
        <v>327</v>
      </c>
      <c r="E53" s="254" t="s">
        <v>434</v>
      </c>
      <c r="F53" s="249" t="s">
        <v>244</v>
      </c>
      <c r="G53" s="249" t="s">
        <v>449</v>
      </c>
      <c r="H53" s="255">
        <f>142135.3+23695+82000</f>
        <v>247830.3</v>
      </c>
      <c r="I53" s="255">
        <v>99428</v>
      </c>
      <c r="J53" s="255">
        <v>89945</v>
      </c>
    </row>
    <row r="54" spans="1:10" ht="67.5">
      <c r="A54" s="276" t="s">
        <v>455</v>
      </c>
      <c r="B54" s="172" t="s">
        <v>0</v>
      </c>
      <c r="C54" s="253" t="s">
        <v>299</v>
      </c>
      <c r="D54" s="253" t="s">
        <v>327</v>
      </c>
      <c r="E54" s="253" t="s">
        <v>456</v>
      </c>
      <c r="F54" s="249"/>
      <c r="G54" s="249"/>
      <c r="H54" s="176">
        <f>H55+H56</f>
        <v>1449989.88</v>
      </c>
      <c r="I54" s="176">
        <f>I55+I56</f>
        <v>1346738.63</v>
      </c>
      <c r="J54" s="176">
        <f>J55+J56</f>
        <v>1346738.63</v>
      </c>
    </row>
    <row r="55" spans="1:10" ht="67.5">
      <c r="A55" s="274" t="s">
        <v>186</v>
      </c>
      <c r="B55" s="172" t="s">
        <v>0</v>
      </c>
      <c r="C55" s="253" t="s">
        <v>299</v>
      </c>
      <c r="D55" s="253" t="s">
        <v>327</v>
      </c>
      <c r="E55" s="253" t="s">
        <v>456</v>
      </c>
      <c r="F55" s="249" t="s">
        <v>221</v>
      </c>
      <c r="G55" s="249" t="s">
        <v>449</v>
      </c>
      <c r="H55" s="176">
        <f>1346738.63+103251.25-106532</f>
        <v>1343457.88</v>
      </c>
      <c r="I55" s="277">
        <v>1346738.63</v>
      </c>
      <c r="J55" s="277">
        <v>1346738.63</v>
      </c>
    </row>
    <row r="56" spans="1:10" ht="33.75">
      <c r="A56" s="274" t="s">
        <v>187</v>
      </c>
      <c r="B56" s="172" t="s">
        <v>0</v>
      </c>
      <c r="C56" s="253" t="s">
        <v>299</v>
      </c>
      <c r="D56" s="253" t="s">
        <v>327</v>
      </c>
      <c r="E56" s="253" t="s">
        <v>456</v>
      </c>
      <c r="F56" s="249" t="s">
        <v>244</v>
      </c>
      <c r="G56" s="249" t="s">
        <v>449</v>
      </c>
      <c r="H56" s="176">
        <v>106532</v>
      </c>
      <c r="I56" s="277">
        <v>0</v>
      </c>
      <c r="J56" s="277">
        <v>0</v>
      </c>
    </row>
    <row r="57" spans="1:10" ht="33.75">
      <c r="A57" s="278" t="s">
        <v>334</v>
      </c>
      <c r="B57" s="171" t="s">
        <v>0</v>
      </c>
      <c r="C57" s="250" t="s">
        <v>309</v>
      </c>
      <c r="D57" s="250"/>
      <c r="E57" s="250"/>
      <c r="F57" s="251"/>
      <c r="G57" s="251"/>
      <c r="H57" s="252">
        <f>H58</f>
        <v>747177</v>
      </c>
      <c r="I57" s="252">
        <f>I58</f>
        <v>0</v>
      </c>
      <c r="J57" s="252">
        <f>J58</f>
        <v>0</v>
      </c>
    </row>
    <row r="58" spans="1:10" ht="51">
      <c r="A58" s="273" t="s">
        <v>335</v>
      </c>
      <c r="B58" s="171" t="s">
        <v>0</v>
      </c>
      <c r="C58" s="250" t="s">
        <v>309</v>
      </c>
      <c r="D58" s="250" t="s">
        <v>336</v>
      </c>
      <c r="E58" s="250"/>
      <c r="F58" s="250"/>
      <c r="G58" s="250"/>
      <c r="H58" s="252">
        <f>H59</f>
        <v>747177</v>
      </c>
      <c r="I58" s="252">
        <f aca="true" t="shared" si="4" ref="I58:J61">I59</f>
        <v>0</v>
      </c>
      <c r="J58" s="252">
        <f t="shared" si="4"/>
        <v>0</v>
      </c>
    </row>
    <row r="59" spans="1:10" ht="16.5">
      <c r="A59" s="280" t="s">
        <v>302</v>
      </c>
      <c r="B59" s="171" t="s">
        <v>0</v>
      </c>
      <c r="C59" s="250" t="s">
        <v>309</v>
      </c>
      <c r="D59" s="250" t="s">
        <v>336</v>
      </c>
      <c r="E59" s="35">
        <v>9900000000</v>
      </c>
      <c r="F59" s="35"/>
      <c r="G59" s="250"/>
      <c r="H59" s="252">
        <f>H60</f>
        <v>747177</v>
      </c>
      <c r="I59" s="252">
        <f t="shared" si="4"/>
        <v>0</v>
      </c>
      <c r="J59" s="252">
        <f t="shared" si="4"/>
        <v>0</v>
      </c>
    </row>
    <row r="60" spans="1:10" ht="33.75">
      <c r="A60" s="274" t="s">
        <v>304</v>
      </c>
      <c r="B60" s="172" t="s">
        <v>0</v>
      </c>
      <c r="C60" s="253" t="s">
        <v>309</v>
      </c>
      <c r="D60" s="253" t="s">
        <v>336</v>
      </c>
      <c r="E60" s="32">
        <v>9910000000</v>
      </c>
      <c r="F60" s="32"/>
      <c r="G60" s="253"/>
      <c r="H60" s="176">
        <f>H61</f>
        <v>747177</v>
      </c>
      <c r="I60" s="176">
        <f t="shared" si="4"/>
        <v>0</v>
      </c>
      <c r="J60" s="176">
        <f t="shared" si="4"/>
        <v>0</v>
      </c>
    </row>
    <row r="61" spans="1:10" ht="33.75">
      <c r="A61" s="281" t="s">
        <v>328</v>
      </c>
      <c r="B61" s="172" t="s">
        <v>0</v>
      </c>
      <c r="C61" s="253" t="s">
        <v>309</v>
      </c>
      <c r="D61" s="253" t="s">
        <v>336</v>
      </c>
      <c r="E61" s="32">
        <v>9910022001</v>
      </c>
      <c r="F61" s="32"/>
      <c r="G61" s="253"/>
      <c r="H61" s="176">
        <f>H62</f>
        <v>747177</v>
      </c>
      <c r="I61" s="176">
        <f t="shared" si="4"/>
        <v>0</v>
      </c>
      <c r="J61" s="176">
        <f t="shared" si="4"/>
        <v>0</v>
      </c>
    </row>
    <row r="62" spans="1:10" ht="67.5">
      <c r="A62" s="274" t="s">
        <v>186</v>
      </c>
      <c r="B62" s="172" t="s">
        <v>0</v>
      </c>
      <c r="C62" s="253" t="s">
        <v>309</v>
      </c>
      <c r="D62" s="253" t="s">
        <v>336</v>
      </c>
      <c r="E62" s="32">
        <v>9910022001</v>
      </c>
      <c r="F62" s="72" t="s">
        <v>221</v>
      </c>
      <c r="G62" s="253" t="s">
        <v>449</v>
      </c>
      <c r="H62" s="176">
        <f>313750+433427</f>
        <v>747177</v>
      </c>
      <c r="I62" s="176">
        <v>0</v>
      </c>
      <c r="J62" s="18">
        <v>0</v>
      </c>
    </row>
    <row r="63" spans="1:10" ht="16.5">
      <c r="A63" s="278" t="s">
        <v>339</v>
      </c>
      <c r="B63" s="171" t="s">
        <v>0</v>
      </c>
      <c r="C63" s="250" t="s">
        <v>313</v>
      </c>
      <c r="D63" s="250"/>
      <c r="E63" s="250"/>
      <c r="F63" s="251"/>
      <c r="G63" s="251"/>
      <c r="H63" s="252">
        <f>H71+H90+H64</f>
        <v>157005486.75</v>
      </c>
      <c r="I63" s="252">
        <f>I71+I90+I64</f>
        <v>61514783.19</v>
      </c>
      <c r="J63" s="252">
        <f>J71+J90+J64</f>
        <v>63250270.519999996</v>
      </c>
    </row>
    <row r="64" spans="1:10" ht="16.5">
      <c r="A64" s="278" t="s">
        <v>340</v>
      </c>
      <c r="B64" s="171" t="s">
        <v>0</v>
      </c>
      <c r="C64" s="250" t="s">
        <v>313</v>
      </c>
      <c r="D64" s="250" t="s">
        <v>299</v>
      </c>
      <c r="E64" s="250"/>
      <c r="F64" s="251"/>
      <c r="G64" s="251"/>
      <c r="H64" s="252">
        <f>H65</f>
        <v>1340692.42</v>
      </c>
      <c r="I64" s="252">
        <f aca="true" t="shared" si="5" ref="I64:J66">I65</f>
        <v>604274</v>
      </c>
      <c r="J64" s="252">
        <f t="shared" si="5"/>
        <v>604274</v>
      </c>
    </row>
    <row r="65" spans="1:10" ht="16.5">
      <c r="A65" s="273" t="s">
        <v>302</v>
      </c>
      <c r="B65" s="171" t="s">
        <v>0</v>
      </c>
      <c r="C65" s="250" t="s">
        <v>313</v>
      </c>
      <c r="D65" s="250" t="s">
        <v>299</v>
      </c>
      <c r="E65" s="250" t="s">
        <v>303</v>
      </c>
      <c r="F65" s="251"/>
      <c r="G65" s="251"/>
      <c r="H65" s="252">
        <f>H66</f>
        <v>1340692.42</v>
      </c>
      <c r="I65" s="252">
        <f t="shared" si="5"/>
        <v>604274</v>
      </c>
      <c r="J65" s="252">
        <f t="shared" si="5"/>
        <v>604274</v>
      </c>
    </row>
    <row r="66" spans="1:10" ht="16.5">
      <c r="A66" s="274" t="s">
        <v>322</v>
      </c>
      <c r="B66" s="172" t="s">
        <v>0</v>
      </c>
      <c r="C66" s="253" t="s">
        <v>313</v>
      </c>
      <c r="D66" s="253" t="s">
        <v>299</v>
      </c>
      <c r="E66" s="253" t="s">
        <v>323</v>
      </c>
      <c r="F66" s="249"/>
      <c r="G66" s="249"/>
      <c r="H66" s="176">
        <f>H67</f>
        <v>1340692.42</v>
      </c>
      <c r="I66" s="176">
        <f t="shared" si="5"/>
        <v>604274</v>
      </c>
      <c r="J66" s="176">
        <f t="shared" si="5"/>
        <v>604274</v>
      </c>
    </row>
    <row r="67" spans="1:10" ht="33.75">
      <c r="A67" s="282" t="s">
        <v>14</v>
      </c>
      <c r="B67" s="172" t="s">
        <v>0</v>
      </c>
      <c r="C67" s="253" t="s">
        <v>313</v>
      </c>
      <c r="D67" s="253" t="s">
        <v>299</v>
      </c>
      <c r="E67" s="253" t="s">
        <v>435</v>
      </c>
      <c r="F67" s="249"/>
      <c r="G67" s="249"/>
      <c r="H67" s="176">
        <f>H68+H69+H70</f>
        <v>1340692.42</v>
      </c>
      <c r="I67" s="176">
        <f>I68+I69+I70</f>
        <v>604274</v>
      </c>
      <c r="J67" s="176">
        <f>J68+J69+J70</f>
        <v>604274</v>
      </c>
    </row>
    <row r="68" spans="1:10" ht="67.5">
      <c r="A68" s="274" t="s">
        <v>186</v>
      </c>
      <c r="B68" s="172" t="s">
        <v>0</v>
      </c>
      <c r="C68" s="253" t="s">
        <v>313</v>
      </c>
      <c r="D68" s="253" t="s">
        <v>299</v>
      </c>
      <c r="E68" s="253" t="s">
        <v>435</v>
      </c>
      <c r="F68" s="249" t="s">
        <v>221</v>
      </c>
      <c r="G68" s="249" t="s">
        <v>449</v>
      </c>
      <c r="H68" s="231">
        <v>825505</v>
      </c>
      <c r="I68" s="231">
        <v>527533</v>
      </c>
      <c r="J68" s="231">
        <v>566343</v>
      </c>
    </row>
    <row r="69" spans="1:10" ht="33.75">
      <c r="A69" s="274" t="s">
        <v>187</v>
      </c>
      <c r="B69" s="172" t="s">
        <v>0</v>
      </c>
      <c r="C69" s="253" t="s">
        <v>313</v>
      </c>
      <c r="D69" s="253" t="s">
        <v>299</v>
      </c>
      <c r="E69" s="253" t="s">
        <v>435</v>
      </c>
      <c r="F69" s="249" t="s">
        <v>244</v>
      </c>
      <c r="G69" s="249" t="s">
        <v>449</v>
      </c>
      <c r="H69" s="176">
        <v>36731.16</v>
      </c>
      <c r="I69" s="176">
        <v>76741</v>
      </c>
      <c r="J69" s="176">
        <v>37931</v>
      </c>
    </row>
    <row r="70" spans="1:10" ht="16.5">
      <c r="A70" s="274" t="s">
        <v>188</v>
      </c>
      <c r="B70" s="172" t="s">
        <v>0</v>
      </c>
      <c r="C70" s="253" t="s">
        <v>313</v>
      </c>
      <c r="D70" s="253" t="s">
        <v>299</v>
      </c>
      <c r="E70" s="253" t="s">
        <v>435</v>
      </c>
      <c r="F70" s="249" t="s">
        <v>249</v>
      </c>
      <c r="G70" s="249" t="s">
        <v>449</v>
      </c>
      <c r="H70" s="176">
        <v>478456.26</v>
      </c>
      <c r="I70" s="176"/>
      <c r="J70" s="176"/>
    </row>
    <row r="71" spans="1:10" ht="16.5">
      <c r="A71" s="278" t="s">
        <v>341</v>
      </c>
      <c r="B71" s="171" t="s">
        <v>0</v>
      </c>
      <c r="C71" s="250" t="s">
        <v>313</v>
      </c>
      <c r="D71" s="250" t="s">
        <v>342</v>
      </c>
      <c r="E71" s="253"/>
      <c r="F71" s="249"/>
      <c r="G71" s="249"/>
      <c r="H71" s="252">
        <f>H72+H86</f>
        <v>110274217.09</v>
      </c>
      <c r="I71" s="252">
        <f>I72+I86</f>
        <v>36740270</v>
      </c>
      <c r="J71" s="252">
        <f>J72+J86</f>
        <v>36740270</v>
      </c>
    </row>
    <row r="72" spans="1:10" ht="51">
      <c r="A72" s="278" t="s">
        <v>217</v>
      </c>
      <c r="B72" s="171" t="s">
        <v>0</v>
      </c>
      <c r="C72" s="250" t="s">
        <v>313</v>
      </c>
      <c r="D72" s="250" t="s">
        <v>342</v>
      </c>
      <c r="E72" s="250" t="s">
        <v>218</v>
      </c>
      <c r="F72" s="251"/>
      <c r="G72" s="251"/>
      <c r="H72" s="252">
        <f>H73+H77</f>
        <v>108195144.87</v>
      </c>
      <c r="I72" s="252">
        <f>I73+I77</f>
        <v>36740270</v>
      </c>
      <c r="J72" s="252">
        <f>J73+J77</f>
        <v>36740270</v>
      </c>
    </row>
    <row r="73" spans="1:10" ht="16.5">
      <c r="A73" s="283" t="s">
        <v>219</v>
      </c>
      <c r="B73" s="171" t="s">
        <v>0</v>
      </c>
      <c r="C73" s="250" t="s">
        <v>313</v>
      </c>
      <c r="D73" s="250" t="s">
        <v>342</v>
      </c>
      <c r="E73" s="250" t="s">
        <v>220</v>
      </c>
      <c r="F73" s="251"/>
      <c r="G73" s="251"/>
      <c r="H73" s="252">
        <f>H74</f>
        <v>11785811.72</v>
      </c>
      <c r="I73" s="252">
        <f>I74</f>
        <v>10770270</v>
      </c>
      <c r="J73" s="252">
        <f>J74</f>
        <v>10770270</v>
      </c>
    </row>
    <row r="74" spans="1:10" ht="51">
      <c r="A74" s="274" t="s">
        <v>457</v>
      </c>
      <c r="B74" s="172" t="s">
        <v>0</v>
      </c>
      <c r="C74" s="253" t="s">
        <v>313</v>
      </c>
      <c r="D74" s="253" t="s">
        <v>342</v>
      </c>
      <c r="E74" s="253" t="s">
        <v>436</v>
      </c>
      <c r="F74" s="249"/>
      <c r="G74" s="249"/>
      <c r="H74" s="176">
        <f>SUM(H75:H76)</f>
        <v>11785811.72</v>
      </c>
      <c r="I74" s="176">
        <f>SUM(I75:I76)</f>
        <v>10770270</v>
      </c>
      <c r="J74" s="176">
        <f>SUM(J75:J76)</f>
        <v>10770270</v>
      </c>
    </row>
    <row r="75" spans="1:10" ht="67.5">
      <c r="A75" s="274" t="s">
        <v>186</v>
      </c>
      <c r="B75" s="172" t="s">
        <v>0</v>
      </c>
      <c r="C75" s="253" t="s">
        <v>313</v>
      </c>
      <c r="D75" s="253" t="s">
        <v>342</v>
      </c>
      <c r="E75" s="253" t="s">
        <v>436</v>
      </c>
      <c r="F75" s="249" t="s">
        <v>221</v>
      </c>
      <c r="G75" s="249" t="s">
        <v>449</v>
      </c>
      <c r="H75" s="176">
        <f>10706234.33+830266.79</f>
        <v>11536501.120000001</v>
      </c>
      <c r="I75" s="18">
        <v>10520959.4</v>
      </c>
      <c r="J75" s="18">
        <v>10520959.4</v>
      </c>
    </row>
    <row r="76" spans="1:17" s="269" customFormat="1" ht="33.75">
      <c r="A76" s="274" t="s">
        <v>187</v>
      </c>
      <c r="B76" s="172" t="s">
        <v>0</v>
      </c>
      <c r="C76" s="253" t="s">
        <v>313</v>
      </c>
      <c r="D76" s="253" t="s">
        <v>342</v>
      </c>
      <c r="E76" s="253" t="s">
        <v>436</v>
      </c>
      <c r="F76" s="249" t="s">
        <v>244</v>
      </c>
      <c r="G76" s="249" t="s">
        <v>449</v>
      </c>
      <c r="H76" s="176">
        <v>249310.6</v>
      </c>
      <c r="I76" s="18">
        <v>249310.6</v>
      </c>
      <c r="J76" s="18">
        <v>249310.6</v>
      </c>
      <c r="L76" s="270"/>
      <c r="M76" s="270"/>
      <c r="N76" s="270"/>
      <c r="O76" s="270"/>
      <c r="P76" s="270"/>
      <c r="Q76" s="270"/>
    </row>
    <row r="77" spans="1:10" ht="33.75">
      <c r="A77" s="282" t="s">
        <v>292</v>
      </c>
      <c r="B77" s="172" t="s">
        <v>0</v>
      </c>
      <c r="C77" s="253" t="s">
        <v>313</v>
      </c>
      <c r="D77" s="253" t="s">
        <v>342</v>
      </c>
      <c r="E77" s="32" t="s">
        <v>291</v>
      </c>
      <c r="F77" s="249"/>
      <c r="G77" s="249"/>
      <c r="H77" s="176">
        <f>H80+H82+H84+H78</f>
        <v>96409333.15</v>
      </c>
      <c r="I77" s="176">
        <f>I80+I82+I84+I78</f>
        <v>25970000</v>
      </c>
      <c r="J77" s="176">
        <f>J80+J82+J84+J78</f>
        <v>25970000</v>
      </c>
    </row>
    <row r="78" spans="1:10" ht="51">
      <c r="A78" s="282" t="s">
        <v>458</v>
      </c>
      <c r="B78" s="172" t="s">
        <v>0</v>
      </c>
      <c r="C78" s="253" t="s">
        <v>313</v>
      </c>
      <c r="D78" s="253" t="s">
        <v>342</v>
      </c>
      <c r="E78" s="32" t="s">
        <v>459</v>
      </c>
      <c r="F78" s="249"/>
      <c r="G78" s="249"/>
      <c r="H78" s="176">
        <f>H79</f>
        <v>7674372.65</v>
      </c>
      <c r="I78" s="176">
        <f>I79</f>
        <v>0</v>
      </c>
      <c r="J78" s="176">
        <f>J79</f>
        <v>0</v>
      </c>
    </row>
    <row r="79" spans="1:10" ht="16.5">
      <c r="A79" s="274" t="s">
        <v>189</v>
      </c>
      <c r="B79" s="172" t="s">
        <v>0</v>
      </c>
      <c r="C79" s="253" t="s">
        <v>313</v>
      </c>
      <c r="D79" s="253" t="s">
        <v>342</v>
      </c>
      <c r="E79" s="32" t="s">
        <v>459</v>
      </c>
      <c r="F79" s="249" t="s">
        <v>223</v>
      </c>
      <c r="G79" s="249" t="s">
        <v>449</v>
      </c>
      <c r="H79" s="176">
        <v>7674372.65</v>
      </c>
      <c r="I79" s="176">
        <v>0</v>
      </c>
      <c r="J79" s="176">
        <v>0</v>
      </c>
    </row>
    <row r="80" spans="1:10" ht="51">
      <c r="A80" s="282" t="s">
        <v>460</v>
      </c>
      <c r="B80" s="172" t="s">
        <v>0</v>
      </c>
      <c r="C80" s="253" t="s">
        <v>313</v>
      </c>
      <c r="D80" s="253" t="s">
        <v>342</v>
      </c>
      <c r="E80" s="32" t="s">
        <v>461</v>
      </c>
      <c r="F80" s="249"/>
      <c r="G80" s="249"/>
      <c r="H80" s="176">
        <f>H81</f>
        <v>9730000</v>
      </c>
      <c r="I80" s="176">
        <v>0</v>
      </c>
      <c r="J80" s="176">
        <v>0</v>
      </c>
    </row>
    <row r="81" spans="1:10" ht="16.5">
      <c r="A81" s="274" t="s">
        <v>189</v>
      </c>
      <c r="B81" s="172" t="s">
        <v>0</v>
      </c>
      <c r="C81" s="253" t="s">
        <v>313</v>
      </c>
      <c r="D81" s="253" t="s">
        <v>342</v>
      </c>
      <c r="E81" s="32" t="s">
        <v>461</v>
      </c>
      <c r="F81" s="249" t="s">
        <v>223</v>
      </c>
      <c r="G81" s="249" t="s">
        <v>449</v>
      </c>
      <c r="H81" s="176">
        <v>9730000</v>
      </c>
      <c r="I81" s="176">
        <v>0</v>
      </c>
      <c r="J81" s="176">
        <v>0</v>
      </c>
    </row>
    <row r="82" spans="1:10" ht="51">
      <c r="A82" s="282" t="s">
        <v>462</v>
      </c>
      <c r="B82" s="172" t="s">
        <v>0</v>
      </c>
      <c r="C82" s="253" t="s">
        <v>313</v>
      </c>
      <c r="D82" s="253" t="s">
        <v>342</v>
      </c>
      <c r="E82" s="32" t="s">
        <v>463</v>
      </c>
      <c r="F82" s="249"/>
      <c r="G82" s="249"/>
      <c r="H82" s="176">
        <f>H83</f>
        <v>11938960.5</v>
      </c>
      <c r="I82" s="176">
        <f>I83</f>
        <v>0</v>
      </c>
      <c r="J82" s="176">
        <f>J83</f>
        <v>0</v>
      </c>
    </row>
    <row r="83" spans="1:10" ht="16.5">
      <c r="A83" s="274" t="s">
        <v>189</v>
      </c>
      <c r="B83" s="172" t="s">
        <v>0</v>
      </c>
      <c r="C83" s="253" t="s">
        <v>313</v>
      </c>
      <c r="D83" s="253" t="s">
        <v>342</v>
      </c>
      <c r="E83" s="32" t="s">
        <v>463</v>
      </c>
      <c r="F83" s="249" t="s">
        <v>223</v>
      </c>
      <c r="G83" s="249" t="s">
        <v>449</v>
      </c>
      <c r="H83" s="176">
        <v>11938960.5</v>
      </c>
      <c r="I83" s="176">
        <v>0</v>
      </c>
      <c r="J83" s="176">
        <v>0</v>
      </c>
    </row>
    <row r="84" spans="1:10" ht="51">
      <c r="A84" s="274" t="s">
        <v>464</v>
      </c>
      <c r="B84" s="172" t="s">
        <v>0</v>
      </c>
      <c r="C84" s="253" t="s">
        <v>313</v>
      </c>
      <c r="D84" s="253" t="s">
        <v>342</v>
      </c>
      <c r="E84" s="32" t="s">
        <v>465</v>
      </c>
      <c r="F84" s="249"/>
      <c r="G84" s="253"/>
      <c r="H84" s="176">
        <f>H85</f>
        <v>67066000</v>
      </c>
      <c r="I84" s="176">
        <f>I85</f>
        <v>25970000</v>
      </c>
      <c r="J84" s="176">
        <f>J85</f>
        <v>25970000</v>
      </c>
    </row>
    <row r="85" spans="1:10" ht="16.5">
      <c r="A85" s="274" t="s">
        <v>189</v>
      </c>
      <c r="B85" s="172" t="s">
        <v>0</v>
      </c>
      <c r="C85" s="253" t="s">
        <v>313</v>
      </c>
      <c r="D85" s="253" t="s">
        <v>342</v>
      </c>
      <c r="E85" s="32" t="s">
        <v>465</v>
      </c>
      <c r="F85" s="249" t="s">
        <v>223</v>
      </c>
      <c r="G85" s="253" t="s">
        <v>449</v>
      </c>
      <c r="H85" s="277">
        <v>67066000</v>
      </c>
      <c r="I85" s="277">
        <v>25970000</v>
      </c>
      <c r="J85" s="277">
        <v>25970000</v>
      </c>
    </row>
    <row r="86" spans="1:10" ht="16.5">
      <c r="A86" s="278" t="s">
        <v>302</v>
      </c>
      <c r="B86" s="171" t="s">
        <v>0</v>
      </c>
      <c r="C86" s="250" t="s">
        <v>313</v>
      </c>
      <c r="D86" s="250" t="s">
        <v>342</v>
      </c>
      <c r="E86" s="35">
        <v>9900000000</v>
      </c>
      <c r="F86" s="251"/>
      <c r="G86" s="251"/>
      <c r="H86" s="252">
        <f>H87</f>
        <v>2079072.22</v>
      </c>
      <c r="I86" s="252">
        <f aca="true" t="shared" si="6" ref="I86:J88">I87</f>
        <v>0</v>
      </c>
      <c r="J86" s="252">
        <f t="shared" si="6"/>
        <v>0</v>
      </c>
    </row>
    <row r="87" spans="1:10" ht="16.5">
      <c r="A87" s="279" t="s">
        <v>378</v>
      </c>
      <c r="B87" s="172" t="s">
        <v>0</v>
      </c>
      <c r="C87" s="253" t="s">
        <v>313</v>
      </c>
      <c r="D87" s="253" t="s">
        <v>342</v>
      </c>
      <c r="E87" s="32">
        <v>9960000000</v>
      </c>
      <c r="F87" s="249"/>
      <c r="G87" s="249"/>
      <c r="H87" s="176">
        <f>H88</f>
        <v>2079072.22</v>
      </c>
      <c r="I87" s="176">
        <f t="shared" si="6"/>
        <v>0</v>
      </c>
      <c r="J87" s="176">
        <f t="shared" si="6"/>
        <v>0</v>
      </c>
    </row>
    <row r="88" spans="1:10" ht="67.5">
      <c r="A88" s="284" t="s">
        <v>466</v>
      </c>
      <c r="B88" s="172" t="s">
        <v>0</v>
      </c>
      <c r="C88" s="253" t="s">
        <v>313</v>
      </c>
      <c r="D88" s="253" t="s">
        <v>342</v>
      </c>
      <c r="E88" s="253" t="s">
        <v>437</v>
      </c>
      <c r="F88" s="249"/>
      <c r="G88" s="249"/>
      <c r="H88" s="231">
        <f>H89</f>
        <v>2079072.22</v>
      </c>
      <c r="I88" s="231">
        <f t="shared" si="6"/>
        <v>0</v>
      </c>
      <c r="J88" s="231">
        <f t="shared" si="6"/>
        <v>0</v>
      </c>
    </row>
    <row r="89" spans="1:10" ht="16.5">
      <c r="A89" s="282" t="s">
        <v>378</v>
      </c>
      <c r="B89" s="172" t="s">
        <v>0</v>
      </c>
      <c r="C89" s="253" t="s">
        <v>313</v>
      </c>
      <c r="D89" s="253" t="s">
        <v>342</v>
      </c>
      <c r="E89" s="253" t="s">
        <v>437</v>
      </c>
      <c r="F89" s="249" t="s">
        <v>382</v>
      </c>
      <c r="G89" s="249" t="s">
        <v>449</v>
      </c>
      <c r="H89" s="231">
        <v>2079072.22</v>
      </c>
      <c r="I89" s="231">
        <v>0</v>
      </c>
      <c r="J89" s="231">
        <v>0</v>
      </c>
    </row>
    <row r="90" spans="1:10" ht="16.5">
      <c r="A90" s="283" t="s">
        <v>395</v>
      </c>
      <c r="B90" s="171" t="s">
        <v>0</v>
      </c>
      <c r="C90" s="250" t="s">
        <v>313</v>
      </c>
      <c r="D90" s="250" t="s">
        <v>358</v>
      </c>
      <c r="E90" s="250"/>
      <c r="F90" s="251"/>
      <c r="G90" s="251"/>
      <c r="H90" s="339">
        <f>H91</f>
        <v>45390577.24</v>
      </c>
      <c r="I90" s="339">
        <f aca="true" t="shared" si="7" ref="I90:J93">I91</f>
        <v>24170239.19</v>
      </c>
      <c r="J90" s="339">
        <f t="shared" si="7"/>
        <v>25905726.52</v>
      </c>
    </row>
    <row r="91" spans="1:10" ht="33.75">
      <c r="A91" s="283" t="s">
        <v>225</v>
      </c>
      <c r="B91" s="171" t="s">
        <v>0</v>
      </c>
      <c r="C91" s="250" t="s">
        <v>313</v>
      </c>
      <c r="D91" s="250" t="s">
        <v>358</v>
      </c>
      <c r="E91" s="250" t="s">
        <v>226</v>
      </c>
      <c r="F91" s="251"/>
      <c r="G91" s="251"/>
      <c r="H91" s="339">
        <f>H92</f>
        <v>45390577.24</v>
      </c>
      <c r="I91" s="339">
        <f t="shared" si="7"/>
        <v>24170239.19</v>
      </c>
      <c r="J91" s="339">
        <f t="shared" si="7"/>
        <v>25905726.52</v>
      </c>
    </row>
    <row r="92" spans="1:10" ht="16.5">
      <c r="A92" s="282" t="s">
        <v>231</v>
      </c>
      <c r="B92" s="172" t="s">
        <v>0</v>
      </c>
      <c r="C92" s="253" t="s">
        <v>313</v>
      </c>
      <c r="D92" s="253" t="s">
        <v>358</v>
      </c>
      <c r="E92" s="253" t="s">
        <v>232</v>
      </c>
      <c r="F92" s="249"/>
      <c r="G92" s="249"/>
      <c r="H92" s="231">
        <f>H93</f>
        <v>45390577.24</v>
      </c>
      <c r="I92" s="231">
        <f t="shared" si="7"/>
        <v>24170239.19</v>
      </c>
      <c r="J92" s="231">
        <f t="shared" si="7"/>
        <v>25905726.52</v>
      </c>
    </row>
    <row r="93" spans="1:10" ht="67.5">
      <c r="A93" s="282" t="s">
        <v>684</v>
      </c>
      <c r="B93" s="172" t="s">
        <v>0</v>
      </c>
      <c r="C93" s="253" t="s">
        <v>313</v>
      </c>
      <c r="D93" s="253" t="s">
        <v>358</v>
      </c>
      <c r="E93" s="253" t="s">
        <v>683</v>
      </c>
      <c r="F93" s="249"/>
      <c r="G93" s="249"/>
      <c r="H93" s="231">
        <f>H94</f>
        <v>45390577.24</v>
      </c>
      <c r="I93" s="231">
        <f t="shared" si="7"/>
        <v>24170239.19</v>
      </c>
      <c r="J93" s="231">
        <f t="shared" si="7"/>
        <v>25905726.52</v>
      </c>
    </row>
    <row r="94" spans="1:10" ht="33.75">
      <c r="A94" s="274" t="s">
        <v>187</v>
      </c>
      <c r="B94" s="172" t="s">
        <v>0</v>
      </c>
      <c r="C94" s="253" t="s">
        <v>313</v>
      </c>
      <c r="D94" s="253" t="s">
        <v>358</v>
      </c>
      <c r="E94" s="253" t="s">
        <v>683</v>
      </c>
      <c r="F94" s="249" t="s">
        <v>244</v>
      </c>
      <c r="G94" s="249" t="s">
        <v>449</v>
      </c>
      <c r="H94" s="231">
        <v>45390577.24</v>
      </c>
      <c r="I94" s="277">
        <v>24170239.19</v>
      </c>
      <c r="J94" s="277">
        <v>25905726.52</v>
      </c>
    </row>
    <row r="95" spans="1:10" ht="16.5">
      <c r="A95" s="285" t="s">
        <v>352</v>
      </c>
      <c r="B95" s="171" t="s">
        <v>0</v>
      </c>
      <c r="C95" s="250" t="s">
        <v>353</v>
      </c>
      <c r="D95" s="250"/>
      <c r="E95" s="250"/>
      <c r="F95" s="251"/>
      <c r="G95" s="251"/>
      <c r="H95" s="252">
        <f>H96+H109+H142+H154+H166</f>
        <v>1298638892</v>
      </c>
      <c r="I95" s="252">
        <f>I96+I109+I142+I154+I166</f>
        <v>1194321490</v>
      </c>
      <c r="J95" s="252">
        <f>J96+J109+J142+J154+J166</f>
        <v>1210765390</v>
      </c>
    </row>
    <row r="96" spans="1:10" ht="16.5">
      <c r="A96" s="285" t="s">
        <v>354</v>
      </c>
      <c r="B96" s="171" t="s">
        <v>0</v>
      </c>
      <c r="C96" s="250" t="s">
        <v>353</v>
      </c>
      <c r="D96" s="250" t="s">
        <v>299</v>
      </c>
      <c r="E96" s="250"/>
      <c r="F96" s="250"/>
      <c r="G96" s="250"/>
      <c r="H96" s="252">
        <f>H97</f>
        <v>425112620.00000006</v>
      </c>
      <c r="I96" s="252">
        <f>I97</f>
        <v>400817730</v>
      </c>
      <c r="J96" s="252">
        <f>J97</f>
        <v>400817730</v>
      </c>
    </row>
    <row r="97" spans="1:10" ht="16.5">
      <c r="A97" s="273" t="s">
        <v>182</v>
      </c>
      <c r="B97" s="171" t="s">
        <v>0</v>
      </c>
      <c r="C97" s="250" t="s">
        <v>353</v>
      </c>
      <c r="D97" s="250" t="s">
        <v>299</v>
      </c>
      <c r="E97" s="250" t="s">
        <v>183</v>
      </c>
      <c r="F97" s="250"/>
      <c r="G97" s="250"/>
      <c r="H97" s="252">
        <f>H98+H106</f>
        <v>425112620.00000006</v>
      </c>
      <c r="I97" s="252">
        <f>I98+I106</f>
        <v>400817730</v>
      </c>
      <c r="J97" s="252">
        <f>J98+J106</f>
        <v>400817730</v>
      </c>
    </row>
    <row r="98" spans="1:10" ht="16.5">
      <c r="A98" s="286" t="s">
        <v>190</v>
      </c>
      <c r="B98" s="179" t="s">
        <v>0</v>
      </c>
      <c r="C98" s="256" t="s">
        <v>353</v>
      </c>
      <c r="D98" s="256" t="s">
        <v>299</v>
      </c>
      <c r="E98" s="250" t="s">
        <v>191</v>
      </c>
      <c r="F98" s="250"/>
      <c r="G98" s="250"/>
      <c r="H98" s="340">
        <f>H99</f>
        <v>424277420.00000006</v>
      </c>
      <c r="I98" s="340">
        <f>I99</f>
        <v>399982530</v>
      </c>
      <c r="J98" s="340">
        <f>J99</f>
        <v>399982530</v>
      </c>
    </row>
    <row r="99" spans="1:10" ht="16.5">
      <c r="A99" s="344" t="s">
        <v>192</v>
      </c>
      <c r="B99" s="180" t="s">
        <v>0</v>
      </c>
      <c r="C99" s="257" t="s">
        <v>353</v>
      </c>
      <c r="D99" s="257" t="s">
        <v>299</v>
      </c>
      <c r="E99" s="253" t="s">
        <v>193</v>
      </c>
      <c r="F99" s="253"/>
      <c r="G99" s="253"/>
      <c r="H99" s="258">
        <f>H100+H102</f>
        <v>424277420.00000006</v>
      </c>
      <c r="I99" s="258">
        <f>I100+I102</f>
        <v>399982530</v>
      </c>
      <c r="J99" s="258">
        <f>J100+J102</f>
        <v>399982530</v>
      </c>
    </row>
    <row r="100" spans="1:10" ht="33.75">
      <c r="A100" s="287" t="s">
        <v>328</v>
      </c>
      <c r="B100" s="180" t="s">
        <v>0</v>
      </c>
      <c r="C100" s="257" t="s">
        <v>353</v>
      </c>
      <c r="D100" s="257" t="s">
        <v>299</v>
      </c>
      <c r="E100" s="253" t="s">
        <v>467</v>
      </c>
      <c r="F100" s="253"/>
      <c r="G100" s="253"/>
      <c r="H100" s="258">
        <f>H101</f>
        <v>11371150</v>
      </c>
      <c r="I100" s="258">
        <f>I101</f>
        <v>0</v>
      </c>
      <c r="J100" s="258">
        <f>J101</f>
        <v>0</v>
      </c>
    </row>
    <row r="101" spans="1:10" ht="67.5">
      <c r="A101" s="274" t="s">
        <v>186</v>
      </c>
      <c r="B101" s="180" t="s">
        <v>0</v>
      </c>
      <c r="C101" s="257" t="s">
        <v>353</v>
      </c>
      <c r="D101" s="257" t="s">
        <v>299</v>
      </c>
      <c r="E101" s="253" t="s">
        <v>467</v>
      </c>
      <c r="F101" s="253" t="s">
        <v>221</v>
      </c>
      <c r="G101" s="253" t="s">
        <v>449</v>
      </c>
      <c r="H101" s="258">
        <v>11371150</v>
      </c>
      <c r="I101" s="258">
        <v>0</v>
      </c>
      <c r="J101" s="258">
        <v>0</v>
      </c>
    </row>
    <row r="102" spans="1:10" ht="51">
      <c r="A102" s="288" t="s">
        <v>468</v>
      </c>
      <c r="B102" s="172" t="s">
        <v>0</v>
      </c>
      <c r="C102" s="253" t="s">
        <v>353</v>
      </c>
      <c r="D102" s="253" t="s">
        <v>299</v>
      </c>
      <c r="E102" s="253" t="s">
        <v>469</v>
      </c>
      <c r="F102" s="253"/>
      <c r="G102" s="253"/>
      <c r="H102" s="231">
        <f>SUM(H103:H105)</f>
        <v>412906270.00000006</v>
      </c>
      <c r="I102" s="231">
        <f>SUM(I103:I105)</f>
        <v>399982530</v>
      </c>
      <c r="J102" s="231">
        <f>SUM(J103:J105)</f>
        <v>399982530</v>
      </c>
    </row>
    <row r="103" spans="1:10" ht="67.5">
      <c r="A103" s="274" t="s">
        <v>186</v>
      </c>
      <c r="B103" s="172" t="s">
        <v>0</v>
      </c>
      <c r="C103" s="253" t="s">
        <v>353</v>
      </c>
      <c r="D103" s="253" t="s">
        <v>299</v>
      </c>
      <c r="E103" s="253" t="s">
        <v>469</v>
      </c>
      <c r="F103" s="253" t="s">
        <v>221</v>
      </c>
      <c r="G103" s="249" t="s">
        <v>449</v>
      </c>
      <c r="H103" s="231">
        <f>393334709.18+12923740-690695.28</f>
        <v>405567753.90000004</v>
      </c>
      <c r="I103" s="231">
        <v>393694796</v>
      </c>
      <c r="J103" s="231">
        <v>393694796</v>
      </c>
    </row>
    <row r="104" spans="1:10" ht="33.75">
      <c r="A104" s="274" t="s">
        <v>187</v>
      </c>
      <c r="B104" s="172" t="s">
        <v>0</v>
      </c>
      <c r="C104" s="253" t="s">
        <v>353</v>
      </c>
      <c r="D104" s="253" t="s">
        <v>299</v>
      </c>
      <c r="E104" s="253" t="s">
        <v>469</v>
      </c>
      <c r="F104" s="253" t="s">
        <v>244</v>
      </c>
      <c r="G104" s="249" t="s">
        <v>449</v>
      </c>
      <c r="H104" s="231">
        <v>6287734</v>
      </c>
      <c r="I104" s="231">
        <v>6287734</v>
      </c>
      <c r="J104" s="231">
        <v>6287734</v>
      </c>
    </row>
    <row r="105" spans="1:10" ht="16.5">
      <c r="A105" s="274" t="s">
        <v>188</v>
      </c>
      <c r="B105" s="172" t="s">
        <v>0</v>
      </c>
      <c r="C105" s="253" t="s">
        <v>353</v>
      </c>
      <c r="D105" s="253" t="s">
        <v>299</v>
      </c>
      <c r="E105" s="253" t="s">
        <v>469</v>
      </c>
      <c r="F105" s="253" t="s">
        <v>249</v>
      </c>
      <c r="G105" s="249" t="s">
        <v>449</v>
      </c>
      <c r="H105" s="231">
        <f>360086.82+690695.28</f>
        <v>1050782.1</v>
      </c>
      <c r="I105" s="231">
        <v>0</v>
      </c>
      <c r="J105" s="231">
        <v>0</v>
      </c>
    </row>
    <row r="106" spans="1:10" ht="16.5">
      <c r="A106" s="289" t="s">
        <v>470</v>
      </c>
      <c r="B106" s="171" t="s">
        <v>0</v>
      </c>
      <c r="C106" s="250" t="s">
        <v>353</v>
      </c>
      <c r="D106" s="250" t="s">
        <v>299</v>
      </c>
      <c r="E106" s="250" t="s">
        <v>438</v>
      </c>
      <c r="F106" s="251"/>
      <c r="G106" s="251"/>
      <c r="H106" s="339">
        <f aca="true" t="shared" si="8" ref="H106:J107">H107</f>
        <v>835200</v>
      </c>
      <c r="I106" s="339">
        <f t="shared" si="8"/>
        <v>835200</v>
      </c>
      <c r="J106" s="339">
        <f t="shared" si="8"/>
        <v>835200</v>
      </c>
    </row>
    <row r="107" spans="1:10" ht="67.5">
      <c r="A107" s="288" t="s">
        <v>471</v>
      </c>
      <c r="B107" s="172" t="s">
        <v>0</v>
      </c>
      <c r="C107" s="253" t="s">
        <v>353</v>
      </c>
      <c r="D107" s="253" t="s">
        <v>299</v>
      </c>
      <c r="E107" s="253" t="s">
        <v>439</v>
      </c>
      <c r="F107" s="249"/>
      <c r="G107" s="249"/>
      <c r="H107" s="231">
        <f t="shared" si="8"/>
        <v>835200</v>
      </c>
      <c r="I107" s="231">
        <f t="shared" si="8"/>
        <v>835200</v>
      </c>
      <c r="J107" s="231">
        <f t="shared" si="8"/>
        <v>835200</v>
      </c>
    </row>
    <row r="108" spans="1:10" ht="67.5">
      <c r="A108" s="274" t="s">
        <v>186</v>
      </c>
      <c r="B108" s="172" t="s">
        <v>0</v>
      </c>
      <c r="C108" s="253" t="s">
        <v>353</v>
      </c>
      <c r="D108" s="253" t="s">
        <v>299</v>
      </c>
      <c r="E108" s="253" t="s">
        <v>439</v>
      </c>
      <c r="F108" s="249" t="s">
        <v>221</v>
      </c>
      <c r="G108" s="249" t="s">
        <v>449</v>
      </c>
      <c r="H108" s="231">
        <v>835200</v>
      </c>
      <c r="I108" s="231">
        <v>835200</v>
      </c>
      <c r="J108" s="18">
        <v>835200</v>
      </c>
    </row>
    <row r="109" spans="1:10" ht="16.5">
      <c r="A109" s="290" t="s">
        <v>355</v>
      </c>
      <c r="B109" s="171" t="s">
        <v>0</v>
      </c>
      <c r="C109" s="250" t="s">
        <v>353</v>
      </c>
      <c r="D109" s="250" t="s">
        <v>301</v>
      </c>
      <c r="E109" s="250"/>
      <c r="F109" s="251"/>
      <c r="G109" s="251"/>
      <c r="H109" s="252">
        <f>H110+H138</f>
        <v>858931282</v>
      </c>
      <c r="I109" s="252">
        <f>I110+I138</f>
        <v>793158160</v>
      </c>
      <c r="J109" s="252">
        <f>J110+J138</f>
        <v>809602060</v>
      </c>
    </row>
    <row r="110" spans="1:10" ht="16.5">
      <c r="A110" s="273" t="s">
        <v>182</v>
      </c>
      <c r="B110" s="171" t="s">
        <v>0</v>
      </c>
      <c r="C110" s="250" t="s">
        <v>353</v>
      </c>
      <c r="D110" s="250" t="s">
        <v>301</v>
      </c>
      <c r="E110" s="250" t="s">
        <v>183</v>
      </c>
      <c r="F110" s="251"/>
      <c r="G110" s="251"/>
      <c r="H110" s="252">
        <f>H111+H134</f>
        <v>798931282</v>
      </c>
      <c r="I110" s="252">
        <f>I111+I134</f>
        <v>793158160</v>
      </c>
      <c r="J110" s="252">
        <f>J111+J134</f>
        <v>809602060</v>
      </c>
    </row>
    <row r="111" spans="1:10" ht="16.5">
      <c r="A111" s="286" t="s">
        <v>190</v>
      </c>
      <c r="B111" s="171" t="s">
        <v>0</v>
      </c>
      <c r="C111" s="250" t="s">
        <v>353</v>
      </c>
      <c r="D111" s="250" t="s">
        <v>301</v>
      </c>
      <c r="E111" s="250" t="s">
        <v>191</v>
      </c>
      <c r="F111" s="251"/>
      <c r="G111" s="251"/>
      <c r="H111" s="252">
        <f>H112+H115</f>
        <v>796814482</v>
      </c>
      <c r="I111" s="252">
        <f>I112+I115</f>
        <v>791041360</v>
      </c>
      <c r="J111" s="252">
        <f>J112+J115</f>
        <v>807485260</v>
      </c>
    </row>
    <row r="112" spans="1:10" ht="118.5">
      <c r="A112" s="291" t="s">
        <v>472</v>
      </c>
      <c r="B112" s="172" t="s">
        <v>0</v>
      </c>
      <c r="C112" s="253" t="s">
        <v>353</v>
      </c>
      <c r="D112" s="253" t="s">
        <v>301</v>
      </c>
      <c r="E112" s="253" t="s">
        <v>473</v>
      </c>
      <c r="F112" s="249"/>
      <c r="G112" s="249"/>
      <c r="H112" s="176">
        <f>SUM(H113:H114)</f>
        <v>47778190</v>
      </c>
      <c r="I112" s="176">
        <f>SUM(I113:I114)</f>
        <v>47778190</v>
      </c>
      <c r="J112" s="176">
        <f>SUM(J113:J114)</f>
        <v>47778190</v>
      </c>
    </row>
    <row r="113" spans="1:10" ht="67.5">
      <c r="A113" s="274" t="s">
        <v>186</v>
      </c>
      <c r="B113" s="172" t="s">
        <v>0</v>
      </c>
      <c r="C113" s="253" t="s">
        <v>353</v>
      </c>
      <c r="D113" s="253" t="s">
        <v>301</v>
      </c>
      <c r="E113" s="253" t="s">
        <v>473</v>
      </c>
      <c r="F113" s="249" t="s">
        <v>221</v>
      </c>
      <c r="G113" s="249" t="s">
        <v>449</v>
      </c>
      <c r="H113" s="176">
        <v>14816233.14</v>
      </c>
      <c r="I113" s="176">
        <v>14816233.14</v>
      </c>
      <c r="J113" s="176">
        <v>14816233.14</v>
      </c>
    </row>
    <row r="114" spans="1:17" s="269" customFormat="1" ht="33.75">
      <c r="A114" s="288" t="s">
        <v>196</v>
      </c>
      <c r="B114" s="172" t="s">
        <v>0</v>
      </c>
      <c r="C114" s="253" t="s">
        <v>353</v>
      </c>
      <c r="D114" s="253" t="s">
        <v>301</v>
      </c>
      <c r="E114" s="253" t="s">
        <v>473</v>
      </c>
      <c r="F114" s="249" t="s">
        <v>329</v>
      </c>
      <c r="G114" s="249" t="s">
        <v>449</v>
      </c>
      <c r="H114" s="176">
        <v>32961956.86</v>
      </c>
      <c r="I114" s="176">
        <v>32961956.86</v>
      </c>
      <c r="J114" s="176">
        <v>32961956.86</v>
      </c>
      <c r="L114" s="270"/>
      <c r="M114" s="270"/>
      <c r="N114" s="270"/>
      <c r="O114" s="270"/>
      <c r="P114" s="270"/>
      <c r="Q114" s="270"/>
    </row>
    <row r="115" spans="1:17" s="269" customFormat="1" ht="16.5">
      <c r="A115" s="46" t="s">
        <v>194</v>
      </c>
      <c r="B115" s="172" t="s">
        <v>0</v>
      </c>
      <c r="C115" s="107" t="s">
        <v>353</v>
      </c>
      <c r="D115" s="107" t="s">
        <v>301</v>
      </c>
      <c r="E115" s="142" t="s">
        <v>195</v>
      </c>
      <c r="F115" s="249"/>
      <c r="G115" s="249"/>
      <c r="H115" s="176">
        <f>H116+H119+H123+H128+H131</f>
        <v>749036292</v>
      </c>
      <c r="I115" s="176">
        <f>I116+I119+I123+I128+I131</f>
        <v>743263170</v>
      </c>
      <c r="J115" s="176">
        <f>J116+J119+J123+J128+J131</f>
        <v>759707070</v>
      </c>
      <c r="L115" s="270"/>
      <c r="M115" s="270"/>
      <c r="N115" s="270"/>
      <c r="O115" s="270"/>
      <c r="P115" s="270"/>
      <c r="Q115" s="270"/>
    </row>
    <row r="116" spans="1:10" ht="33.75">
      <c r="A116" s="274" t="s">
        <v>328</v>
      </c>
      <c r="B116" s="172" t="s">
        <v>0</v>
      </c>
      <c r="C116" s="253" t="s">
        <v>353</v>
      </c>
      <c r="D116" s="253" t="s">
        <v>301</v>
      </c>
      <c r="E116" s="253" t="s">
        <v>474</v>
      </c>
      <c r="F116" s="249"/>
      <c r="G116" s="249"/>
      <c r="H116" s="176">
        <f>SUM(H117:H118)</f>
        <v>10574920</v>
      </c>
      <c r="I116" s="176">
        <f>SUM(I117:I118)</f>
        <v>0</v>
      </c>
      <c r="J116" s="176">
        <f>SUM(J117:J118)</f>
        <v>0</v>
      </c>
    </row>
    <row r="117" spans="1:10" ht="67.5">
      <c r="A117" s="274" t="s">
        <v>186</v>
      </c>
      <c r="B117" s="172" t="s">
        <v>0</v>
      </c>
      <c r="C117" s="253" t="s">
        <v>353</v>
      </c>
      <c r="D117" s="253" t="s">
        <v>301</v>
      </c>
      <c r="E117" s="253" t="s">
        <v>474</v>
      </c>
      <c r="F117" s="249" t="s">
        <v>221</v>
      </c>
      <c r="G117" s="249" t="s">
        <v>449</v>
      </c>
      <c r="H117" s="176">
        <v>6315080</v>
      </c>
      <c r="I117" s="176">
        <v>0</v>
      </c>
      <c r="J117" s="176">
        <v>0</v>
      </c>
    </row>
    <row r="118" spans="1:17" s="269" customFormat="1" ht="33.75">
      <c r="A118" s="288" t="s">
        <v>196</v>
      </c>
      <c r="B118" s="172" t="s">
        <v>0</v>
      </c>
      <c r="C118" s="253" t="s">
        <v>353</v>
      </c>
      <c r="D118" s="253" t="s">
        <v>301</v>
      </c>
      <c r="E118" s="253" t="s">
        <v>474</v>
      </c>
      <c r="F118" s="249" t="s">
        <v>329</v>
      </c>
      <c r="G118" s="249" t="s">
        <v>449</v>
      </c>
      <c r="H118" s="176">
        <v>4259840</v>
      </c>
      <c r="I118" s="176">
        <v>0</v>
      </c>
      <c r="J118" s="176">
        <v>0</v>
      </c>
      <c r="L118" s="246"/>
      <c r="M118" s="270"/>
      <c r="N118" s="270"/>
      <c r="O118" s="270"/>
      <c r="P118" s="270"/>
      <c r="Q118" s="270"/>
    </row>
    <row r="119" spans="1:10" ht="108" customHeight="1">
      <c r="A119" s="282" t="s">
        <v>685</v>
      </c>
      <c r="B119" s="172" t="s">
        <v>0</v>
      </c>
      <c r="C119" s="253" t="s">
        <v>353</v>
      </c>
      <c r="D119" s="253" t="s">
        <v>301</v>
      </c>
      <c r="E119" s="253" t="s">
        <v>475</v>
      </c>
      <c r="F119" s="249"/>
      <c r="G119" s="253"/>
      <c r="H119" s="176">
        <f>H120+H121+H122</f>
        <v>650037131</v>
      </c>
      <c r="I119" s="176">
        <f>I120+I121+I122</f>
        <v>687707210</v>
      </c>
      <c r="J119" s="176">
        <f>J120+J121+J122</f>
        <v>704151110</v>
      </c>
    </row>
    <row r="120" spans="1:10" ht="67.5">
      <c r="A120" s="274" t="s">
        <v>186</v>
      </c>
      <c r="B120" s="172" t="s">
        <v>0</v>
      </c>
      <c r="C120" s="253" t="s">
        <v>353</v>
      </c>
      <c r="D120" s="253" t="s">
        <v>301</v>
      </c>
      <c r="E120" s="253" t="s">
        <v>475</v>
      </c>
      <c r="F120" s="249" t="s">
        <v>221</v>
      </c>
      <c r="G120" s="253" t="s">
        <v>449</v>
      </c>
      <c r="H120" s="176">
        <f>197404350+5239400</f>
        <v>202643750</v>
      </c>
      <c r="I120" s="18">
        <v>215400530</v>
      </c>
      <c r="J120" s="18">
        <v>220722211</v>
      </c>
    </row>
    <row r="121" spans="1:17" s="269" customFormat="1" ht="33.75">
      <c r="A121" s="274" t="s">
        <v>187</v>
      </c>
      <c r="B121" s="172" t="s">
        <v>0</v>
      </c>
      <c r="C121" s="253" t="s">
        <v>353</v>
      </c>
      <c r="D121" s="253" t="s">
        <v>301</v>
      </c>
      <c r="E121" s="253" t="s">
        <v>475</v>
      </c>
      <c r="F121" s="249" t="s">
        <v>244</v>
      </c>
      <c r="G121" s="253" t="s">
        <v>449</v>
      </c>
      <c r="H121" s="176">
        <v>7159740</v>
      </c>
      <c r="I121" s="176">
        <v>7159740</v>
      </c>
      <c r="J121" s="176">
        <v>7159741</v>
      </c>
      <c r="L121" s="270"/>
      <c r="M121" s="270"/>
      <c r="N121" s="270"/>
      <c r="O121" s="270"/>
      <c r="P121" s="270"/>
      <c r="Q121" s="270"/>
    </row>
    <row r="122" spans="1:10" ht="33.75">
      <c r="A122" s="288" t="s">
        <v>196</v>
      </c>
      <c r="B122" s="172" t="s">
        <v>0</v>
      </c>
      <c r="C122" s="253" t="s">
        <v>353</v>
      </c>
      <c r="D122" s="253" t="s">
        <v>301</v>
      </c>
      <c r="E122" s="253" t="s">
        <v>475</v>
      </c>
      <c r="F122" s="249" t="s">
        <v>329</v>
      </c>
      <c r="G122" s="253" t="s">
        <v>449</v>
      </c>
      <c r="H122" s="176">
        <f>427535250+12698391</f>
        <v>440233641</v>
      </c>
      <c r="I122" s="18">
        <v>465146940</v>
      </c>
      <c r="J122" s="18">
        <v>476269158</v>
      </c>
    </row>
    <row r="123" spans="1:10" ht="67.5">
      <c r="A123" s="284" t="s">
        <v>686</v>
      </c>
      <c r="B123" s="172" t="s">
        <v>0</v>
      </c>
      <c r="C123" s="253" t="s">
        <v>353</v>
      </c>
      <c r="D123" s="253" t="s">
        <v>301</v>
      </c>
      <c r="E123" s="253" t="s">
        <v>476</v>
      </c>
      <c r="F123" s="249"/>
      <c r="G123" s="253"/>
      <c r="H123" s="176">
        <f>SUM(H124:H127)</f>
        <v>56784419.99999999</v>
      </c>
      <c r="I123" s="176">
        <f>SUM(I124:I127)</f>
        <v>55555960</v>
      </c>
      <c r="J123" s="176">
        <f>SUM(J124:J127)</f>
        <v>55555960</v>
      </c>
    </row>
    <row r="124" spans="1:17" s="269" customFormat="1" ht="67.5">
      <c r="A124" s="274" t="s">
        <v>186</v>
      </c>
      <c r="B124" s="172" t="s">
        <v>0</v>
      </c>
      <c r="C124" s="253" t="s">
        <v>353</v>
      </c>
      <c r="D124" s="253" t="s">
        <v>301</v>
      </c>
      <c r="E124" s="253" t="s">
        <v>476</v>
      </c>
      <c r="F124" s="249" t="s">
        <v>221</v>
      </c>
      <c r="G124" s="253" t="s">
        <v>449</v>
      </c>
      <c r="H124" s="176">
        <f>47028341.79+1228460-25095.95+26866</f>
        <v>48258571.839999996</v>
      </c>
      <c r="I124" s="18">
        <v>47081415</v>
      </c>
      <c r="J124" s="18">
        <v>47081415</v>
      </c>
      <c r="K124" s="264"/>
      <c r="L124" s="246"/>
      <c r="M124" s="246"/>
      <c r="N124" s="246"/>
      <c r="O124" s="270"/>
      <c r="P124" s="270"/>
      <c r="Q124" s="270"/>
    </row>
    <row r="125" spans="1:10" ht="33.75">
      <c r="A125" s="274" t="s">
        <v>187</v>
      </c>
      <c r="B125" s="172" t="s">
        <v>0</v>
      </c>
      <c r="C125" s="253" t="s">
        <v>353</v>
      </c>
      <c r="D125" s="253" t="s">
        <v>301</v>
      </c>
      <c r="E125" s="253" t="s">
        <v>476</v>
      </c>
      <c r="F125" s="249" t="s">
        <v>244</v>
      </c>
      <c r="G125" s="253" t="s">
        <v>449</v>
      </c>
      <c r="H125" s="176">
        <f>8384545-36480-26866</f>
        <v>8321199</v>
      </c>
      <c r="I125" s="176">
        <v>8384545</v>
      </c>
      <c r="J125" s="176">
        <v>8384545</v>
      </c>
    </row>
    <row r="126" spans="1:10" ht="16.5">
      <c r="A126" s="274" t="s">
        <v>188</v>
      </c>
      <c r="B126" s="172" t="s">
        <v>0</v>
      </c>
      <c r="C126" s="253" t="s">
        <v>353</v>
      </c>
      <c r="D126" s="253" t="s">
        <v>301</v>
      </c>
      <c r="E126" s="253" t="s">
        <v>476</v>
      </c>
      <c r="F126" s="249" t="s">
        <v>249</v>
      </c>
      <c r="G126" s="253" t="s">
        <v>449</v>
      </c>
      <c r="H126" s="176">
        <f>143073.21+25095.95</f>
        <v>168169.16</v>
      </c>
      <c r="I126" s="18">
        <v>90000</v>
      </c>
      <c r="J126" s="18">
        <v>90000</v>
      </c>
    </row>
    <row r="127" spans="1:10" ht="16.5">
      <c r="A127" s="274" t="s">
        <v>189</v>
      </c>
      <c r="B127" s="172" t="s">
        <v>0</v>
      </c>
      <c r="C127" s="253" t="s">
        <v>353</v>
      </c>
      <c r="D127" s="253" t="s">
        <v>301</v>
      </c>
      <c r="E127" s="253" t="s">
        <v>476</v>
      </c>
      <c r="F127" s="249" t="s">
        <v>223</v>
      </c>
      <c r="G127" s="253" t="s">
        <v>449</v>
      </c>
      <c r="H127" s="176">
        <v>36480</v>
      </c>
      <c r="I127" s="176"/>
      <c r="J127" s="18"/>
    </row>
    <row r="128" spans="1:10" ht="118.5">
      <c r="A128" s="274" t="s">
        <v>477</v>
      </c>
      <c r="B128" s="172" t="s">
        <v>0</v>
      </c>
      <c r="C128" s="253" t="s">
        <v>353</v>
      </c>
      <c r="D128" s="253" t="s">
        <v>301</v>
      </c>
      <c r="E128" s="253" t="s">
        <v>478</v>
      </c>
      <c r="F128" s="249"/>
      <c r="G128" s="253"/>
      <c r="H128" s="176">
        <f>SUM(H129:H130)</f>
        <v>6895821</v>
      </c>
      <c r="I128" s="176">
        <f>SUM(I129:I130)</f>
        <v>0</v>
      </c>
      <c r="J128" s="176">
        <f>SUM(J129:J130)</f>
        <v>0</v>
      </c>
    </row>
    <row r="129" spans="1:10" ht="67.5">
      <c r="A129" s="274" t="s">
        <v>186</v>
      </c>
      <c r="B129" s="172" t="s">
        <v>0</v>
      </c>
      <c r="C129" s="253" t="s">
        <v>353</v>
      </c>
      <c r="D129" s="253" t="s">
        <v>301</v>
      </c>
      <c r="E129" s="253" t="s">
        <v>478</v>
      </c>
      <c r="F129" s="249" t="s">
        <v>221</v>
      </c>
      <c r="G129" s="253" t="s">
        <v>449</v>
      </c>
      <c r="H129" s="176">
        <v>2239324.6</v>
      </c>
      <c r="I129" s="176">
        <v>0</v>
      </c>
      <c r="J129" s="18">
        <v>0</v>
      </c>
    </row>
    <row r="130" spans="1:17" s="269" customFormat="1" ht="33.75">
      <c r="A130" s="288" t="s">
        <v>196</v>
      </c>
      <c r="B130" s="172" t="s">
        <v>0</v>
      </c>
      <c r="C130" s="253" t="s">
        <v>353</v>
      </c>
      <c r="D130" s="253" t="s">
        <v>301</v>
      </c>
      <c r="E130" s="253" t="s">
        <v>478</v>
      </c>
      <c r="F130" s="249" t="s">
        <v>329</v>
      </c>
      <c r="G130" s="253" t="s">
        <v>449</v>
      </c>
      <c r="H130" s="176">
        <v>4656496.4</v>
      </c>
      <c r="I130" s="176">
        <v>0</v>
      </c>
      <c r="J130" s="18">
        <v>0</v>
      </c>
      <c r="L130" s="270"/>
      <c r="M130" s="270"/>
      <c r="N130" s="270"/>
      <c r="O130" s="270"/>
      <c r="P130" s="270"/>
      <c r="Q130" s="270"/>
    </row>
    <row r="131" spans="1:10" ht="51">
      <c r="A131" s="274" t="s">
        <v>479</v>
      </c>
      <c r="B131" s="172" t="s">
        <v>0</v>
      </c>
      <c r="C131" s="253" t="s">
        <v>353</v>
      </c>
      <c r="D131" s="253" t="s">
        <v>301</v>
      </c>
      <c r="E131" s="254" t="s">
        <v>480</v>
      </c>
      <c r="F131" s="249"/>
      <c r="G131" s="253"/>
      <c r="H131" s="176">
        <f>SUM(H132:H133)</f>
        <v>24744000</v>
      </c>
      <c r="I131" s="176">
        <f>SUM(I132:I133)</f>
        <v>0</v>
      </c>
      <c r="J131" s="176">
        <f>SUM(J132:J133)</f>
        <v>0</v>
      </c>
    </row>
    <row r="132" spans="1:10" ht="33.75">
      <c r="A132" s="274" t="s">
        <v>187</v>
      </c>
      <c r="B132" s="172" t="s">
        <v>0</v>
      </c>
      <c r="C132" s="253" t="s">
        <v>353</v>
      </c>
      <c r="D132" s="253" t="s">
        <v>301</v>
      </c>
      <c r="E132" s="254" t="s">
        <v>480</v>
      </c>
      <c r="F132" s="249" t="s">
        <v>244</v>
      </c>
      <c r="G132" s="253" t="s">
        <v>449</v>
      </c>
      <c r="H132" s="176">
        <f>2591682.24</f>
        <v>2591682.24</v>
      </c>
      <c r="I132" s="176">
        <v>0</v>
      </c>
      <c r="J132" s="18">
        <v>0</v>
      </c>
    </row>
    <row r="133" spans="1:10" ht="33.75">
      <c r="A133" s="288" t="s">
        <v>196</v>
      </c>
      <c r="B133" s="172" t="s">
        <v>0</v>
      </c>
      <c r="C133" s="253" t="s">
        <v>353</v>
      </c>
      <c r="D133" s="253" t="s">
        <v>301</v>
      </c>
      <c r="E133" s="254" t="s">
        <v>480</v>
      </c>
      <c r="F133" s="249" t="s">
        <v>329</v>
      </c>
      <c r="G133" s="253" t="s">
        <v>449</v>
      </c>
      <c r="H133" s="176">
        <f>22152317.76</f>
        <v>22152317.76</v>
      </c>
      <c r="I133" s="176">
        <v>0</v>
      </c>
      <c r="J133" s="18">
        <v>0</v>
      </c>
    </row>
    <row r="134" spans="1:10" ht="16.5">
      <c r="A134" s="289" t="s">
        <v>470</v>
      </c>
      <c r="B134" s="171" t="s">
        <v>0</v>
      </c>
      <c r="C134" s="250" t="s">
        <v>353</v>
      </c>
      <c r="D134" s="250" t="s">
        <v>301</v>
      </c>
      <c r="E134" s="250" t="s">
        <v>438</v>
      </c>
      <c r="F134" s="251"/>
      <c r="G134" s="253"/>
      <c r="H134" s="252">
        <f>H135</f>
        <v>2116800</v>
      </c>
      <c r="I134" s="252">
        <f>I135</f>
        <v>2116800</v>
      </c>
      <c r="J134" s="252">
        <f>J135</f>
        <v>2116800</v>
      </c>
    </row>
    <row r="135" spans="1:10" ht="67.5">
      <c r="A135" s="288" t="s">
        <v>471</v>
      </c>
      <c r="B135" s="172" t="s">
        <v>0</v>
      </c>
      <c r="C135" s="253" t="s">
        <v>353</v>
      </c>
      <c r="D135" s="253" t="s">
        <v>301</v>
      </c>
      <c r="E135" s="253" t="s">
        <v>439</v>
      </c>
      <c r="F135" s="249"/>
      <c r="G135" s="253"/>
      <c r="H135" s="176">
        <f>SUM(H136:H137)</f>
        <v>2116800</v>
      </c>
      <c r="I135" s="176">
        <f>SUM(I136:I137)</f>
        <v>2116800</v>
      </c>
      <c r="J135" s="176">
        <f>SUM(J136:J137)</f>
        <v>2116800</v>
      </c>
    </row>
    <row r="136" spans="1:10" ht="67.5">
      <c r="A136" s="274" t="s">
        <v>186</v>
      </c>
      <c r="B136" s="172" t="s">
        <v>0</v>
      </c>
      <c r="C136" s="253" t="s">
        <v>353</v>
      </c>
      <c r="D136" s="253" t="s">
        <v>301</v>
      </c>
      <c r="E136" s="253" t="s">
        <v>439</v>
      </c>
      <c r="F136" s="249" t="s">
        <v>221</v>
      </c>
      <c r="G136" s="253" t="s">
        <v>449</v>
      </c>
      <c r="H136" s="176">
        <v>1267200</v>
      </c>
      <c r="I136" s="176">
        <v>1267200</v>
      </c>
      <c r="J136" s="176">
        <v>1267200</v>
      </c>
    </row>
    <row r="137" spans="1:10" ht="33.75">
      <c r="A137" s="288" t="s">
        <v>196</v>
      </c>
      <c r="B137" s="172" t="s">
        <v>0</v>
      </c>
      <c r="C137" s="253" t="s">
        <v>353</v>
      </c>
      <c r="D137" s="253" t="s">
        <v>301</v>
      </c>
      <c r="E137" s="253" t="s">
        <v>439</v>
      </c>
      <c r="F137" s="249" t="s">
        <v>329</v>
      </c>
      <c r="G137" s="253" t="s">
        <v>449</v>
      </c>
      <c r="H137" s="176">
        <v>849600</v>
      </c>
      <c r="I137" s="176">
        <v>849600</v>
      </c>
      <c r="J137" s="176">
        <v>849600</v>
      </c>
    </row>
    <row r="138" spans="1:10" ht="33.75">
      <c r="A138" s="283" t="s">
        <v>259</v>
      </c>
      <c r="B138" s="171" t="s">
        <v>0</v>
      </c>
      <c r="C138" s="250" t="s">
        <v>353</v>
      </c>
      <c r="D138" s="250" t="s">
        <v>301</v>
      </c>
      <c r="E138" s="259" t="s">
        <v>183</v>
      </c>
      <c r="F138" s="251"/>
      <c r="G138" s="250"/>
      <c r="H138" s="252">
        <f>H139</f>
        <v>60000000</v>
      </c>
      <c r="I138" s="252">
        <f aca="true" t="shared" si="9" ref="I138:J140">I139</f>
        <v>0</v>
      </c>
      <c r="J138" s="252">
        <f t="shared" si="9"/>
        <v>0</v>
      </c>
    </row>
    <row r="139" spans="1:10" ht="16.5">
      <c r="A139" s="283" t="s">
        <v>481</v>
      </c>
      <c r="B139" s="171" t="s">
        <v>0</v>
      </c>
      <c r="C139" s="250" t="s">
        <v>353</v>
      </c>
      <c r="D139" s="250" t="s">
        <v>301</v>
      </c>
      <c r="E139" s="259" t="s">
        <v>482</v>
      </c>
      <c r="F139" s="251"/>
      <c r="G139" s="250"/>
      <c r="H139" s="252">
        <f>H140</f>
        <v>60000000</v>
      </c>
      <c r="I139" s="252">
        <f t="shared" si="9"/>
        <v>0</v>
      </c>
      <c r="J139" s="252">
        <f t="shared" si="9"/>
        <v>0</v>
      </c>
    </row>
    <row r="140" spans="1:10" ht="84.75">
      <c r="A140" s="274" t="s">
        <v>678</v>
      </c>
      <c r="B140" s="172" t="s">
        <v>0</v>
      </c>
      <c r="C140" s="253" t="s">
        <v>353</v>
      </c>
      <c r="D140" s="253" t="s">
        <v>301</v>
      </c>
      <c r="E140" s="254" t="s">
        <v>677</v>
      </c>
      <c r="F140" s="251"/>
      <c r="G140" s="253"/>
      <c r="H140" s="176">
        <f>H141</f>
        <v>60000000</v>
      </c>
      <c r="I140" s="176">
        <f t="shared" si="9"/>
        <v>0</v>
      </c>
      <c r="J140" s="176">
        <f t="shared" si="9"/>
        <v>0</v>
      </c>
    </row>
    <row r="141" spans="1:10" ht="33.75">
      <c r="A141" s="274" t="s">
        <v>264</v>
      </c>
      <c r="B141" s="172" t="s">
        <v>0</v>
      </c>
      <c r="C141" s="253" t="s">
        <v>353</v>
      </c>
      <c r="D141" s="253" t="s">
        <v>301</v>
      </c>
      <c r="E141" s="254" t="s">
        <v>677</v>
      </c>
      <c r="F141" s="249" t="s">
        <v>258</v>
      </c>
      <c r="G141" s="253" t="s">
        <v>449</v>
      </c>
      <c r="H141" s="176">
        <v>60000000</v>
      </c>
      <c r="I141" s="176">
        <v>0</v>
      </c>
      <c r="J141" s="176">
        <v>0</v>
      </c>
    </row>
    <row r="142" spans="1:10" ht="16.5">
      <c r="A142" s="280" t="s">
        <v>356</v>
      </c>
      <c r="B142" s="171" t="s">
        <v>0</v>
      </c>
      <c r="C142" s="250" t="s">
        <v>353</v>
      </c>
      <c r="D142" s="250" t="s">
        <v>309</v>
      </c>
      <c r="E142" s="259"/>
      <c r="F142" s="251"/>
      <c r="G142" s="250"/>
      <c r="H142" s="252">
        <f>H143+H147</f>
        <v>3196640</v>
      </c>
      <c r="I142" s="252">
        <f>I143+I147</f>
        <v>345600</v>
      </c>
      <c r="J142" s="252">
        <f>J143+J147</f>
        <v>345600</v>
      </c>
    </row>
    <row r="143" spans="1:10" ht="16.5">
      <c r="A143" s="280" t="s">
        <v>182</v>
      </c>
      <c r="B143" s="171" t="s">
        <v>0</v>
      </c>
      <c r="C143" s="250" t="s">
        <v>353</v>
      </c>
      <c r="D143" s="250" t="s">
        <v>309</v>
      </c>
      <c r="E143" s="259" t="s">
        <v>183</v>
      </c>
      <c r="F143" s="251"/>
      <c r="G143" s="250"/>
      <c r="H143" s="252">
        <f>H144</f>
        <v>2851040</v>
      </c>
      <c r="I143" s="252">
        <f>I144</f>
        <v>0</v>
      </c>
      <c r="J143" s="252">
        <f>J144</f>
        <v>0</v>
      </c>
    </row>
    <row r="144" spans="1:10" ht="16.5">
      <c r="A144" s="280" t="s">
        <v>197</v>
      </c>
      <c r="B144" s="171" t="s">
        <v>0</v>
      </c>
      <c r="C144" s="250" t="s">
        <v>353</v>
      </c>
      <c r="D144" s="250" t="s">
        <v>309</v>
      </c>
      <c r="E144" s="259" t="s">
        <v>198</v>
      </c>
      <c r="F144" s="251"/>
      <c r="G144" s="250"/>
      <c r="H144" s="252">
        <f aca="true" t="shared" si="10" ref="H144:J145">H145</f>
        <v>2851040</v>
      </c>
      <c r="I144" s="252">
        <f t="shared" si="10"/>
        <v>0</v>
      </c>
      <c r="J144" s="252">
        <f t="shared" si="10"/>
        <v>0</v>
      </c>
    </row>
    <row r="145" spans="1:10" ht="33.75">
      <c r="A145" s="274" t="s">
        <v>328</v>
      </c>
      <c r="B145" s="172" t="s">
        <v>0</v>
      </c>
      <c r="C145" s="253" t="s">
        <v>353</v>
      </c>
      <c r="D145" s="253" t="s">
        <v>309</v>
      </c>
      <c r="E145" s="254" t="s">
        <v>483</v>
      </c>
      <c r="F145" s="249"/>
      <c r="G145" s="249"/>
      <c r="H145" s="176">
        <f t="shared" si="10"/>
        <v>2851040</v>
      </c>
      <c r="I145" s="176">
        <f t="shared" si="10"/>
        <v>0</v>
      </c>
      <c r="J145" s="176">
        <f t="shared" si="10"/>
        <v>0</v>
      </c>
    </row>
    <row r="146" spans="1:10" ht="67.5">
      <c r="A146" s="274" t="s">
        <v>186</v>
      </c>
      <c r="B146" s="172" t="s">
        <v>0</v>
      </c>
      <c r="C146" s="253" t="s">
        <v>353</v>
      </c>
      <c r="D146" s="253" t="s">
        <v>309</v>
      </c>
      <c r="E146" s="254" t="s">
        <v>483</v>
      </c>
      <c r="F146" s="249" t="s">
        <v>221</v>
      </c>
      <c r="G146" s="249" t="s">
        <v>449</v>
      </c>
      <c r="H146" s="176">
        <v>2851040</v>
      </c>
      <c r="I146" s="176"/>
      <c r="J146" s="176"/>
    </row>
    <row r="147" spans="1:10" ht="16.5">
      <c r="A147" s="273" t="s">
        <v>201</v>
      </c>
      <c r="B147" s="171" t="s">
        <v>0</v>
      </c>
      <c r="C147" s="250" t="s">
        <v>353</v>
      </c>
      <c r="D147" s="250" t="s">
        <v>309</v>
      </c>
      <c r="E147" s="259" t="s">
        <v>183</v>
      </c>
      <c r="F147" s="251"/>
      <c r="G147" s="251"/>
      <c r="H147" s="252">
        <f>H148+H151</f>
        <v>345600</v>
      </c>
      <c r="I147" s="252">
        <f>I148+I151</f>
        <v>345600</v>
      </c>
      <c r="J147" s="252">
        <f>J148+J151</f>
        <v>345600</v>
      </c>
    </row>
    <row r="148" spans="1:10" ht="16.5" hidden="1">
      <c r="A148" s="280" t="s">
        <v>197</v>
      </c>
      <c r="B148" s="171" t="s">
        <v>0</v>
      </c>
      <c r="C148" s="250" t="s">
        <v>353</v>
      </c>
      <c r="D148" s="250" t="s">
        <v>309</v>
      </c>
      <c r="E148" s="259" t="s">
        <v>198</v>
      </c>
      <c r="F148" s="251"/>
      <c r="G148" s="251"/>
      <c r="H148" s="176">
        <f>H149</f>
        <v>0</v>
      </c>
      <c r="I148" s="176">
        <f>I149</f>
        <v>0</v>
      </c>
      <c r="J148" s="176">
        <f>J149</f>
        <v>0</v>
      </c>
    </row>
    <row r="149" spans="1:10" ht="33.75" hidden="1">
      <c r="A149" s="274" t="s">
        <v>328</v>
      </c>
      <c r="B149" s="172" t="s">
        <v>0</v>
      </c>
      <c r="C149" s="253" t="s">
        <v>353</v>
      </c>
      <c r="D149" s="253" t="s">
        <v>309</v>
      </c>
      <c r="E149" s="254" t="s">
        <v>483</v>
      </c>
      <c r="F149" s="249"/>
      <c r="G149" s="249"/>
      <c r="H149" s="176">
        <f>H150</f>
        <v>0</v>
      </c>
      <c r="I149" s="176">
        <f>I150</f>
        <v>0</v>
      </c>
      <c r="J149" s="176">
        <f>J150</f>
        <v>0</v>
      </c>
    </row>
    <row r="150" spans="1:10" ht="67.5" hidden="1">
      <c r="A150" s="274" t="s">
        <v>186</v>
      </c>
      <c r="B150" s="172" t="s">
        <v>0</v>
      </c>
      <c r="C150" s="253" t="s">
        <v>353</v>
      </c>
      <c r="D150" s="253" t="s">
        <v>309</v>
      </c>
      <c r="E150" s="254" t="s">
        <v>483</v>
      </c>
      <c r="F150" s="249" t="s">
        <v>221</v>
      </c>
      <c r="G150" s="249" t="s">
        <v>449</v>
      </c>
      <c r="H150" s="176"/>
      <c r="I150" s="176"/>
      <c r="J150" s="176"/>
    </row>
    <row r="151" spans="1:10" ht="16.5">
      <c r="A151" s="289" t="s">
        <v>470</v>
      </c>
      <c r="B151" s="171" t="s">
        <v>0</v>
      </c>
      <c r="C151" s="250" t="s">
        <v>353</v>
      </c>
      <c r="D151" s="250" t="s">
        <v>309</v>
      </c>
      <c r="E151" s="259" t="s">
        <v>438</v>
      </c>
      <c r="F151" s="251"/>
      <c r="G151" s="251"/>
      <c r="H151" s="252">
        <f>H152</f>
        <v>345600</v>
      </c>
      <c r="I151" s="252">
        <f>I152</f>
        <v>345600</v>
      </c>
      <c r="J151" s="252">
        <f>J152</f>
        <v>345600</v>
      </c>
    </row>
    <row r="152" spans="1:10" ht="67.5">
      <c r="A152" s="288" t="s">
        <v>471</v>
      </c>
      <c r="B152" s="172" t="s">
        <v>0</v>
      </c>
      <c r="C152" s="253" t="s">
        <v>353</v>
      </c>
      <c r="D152" s="253" t="s">
        <v>309</v>
      </c>
      <c r="E152" s="254" t="s">
        <v>439</v>
      </c>
      <c r="F152" s="249"/>
      <c r="G152" s="249"/>
      <c r="H152" s="176">
        <f>H153</f>
        <v>345600</v>
      </c>
      <c r="I152" s="176">
        <f>I153</f>
        <v>345600</v>
      </c>
      <c r="J152" s="176">
        <f>J153</f>
        <v>345600</v>
      </c>
    </row>
    <row r="153" spans="1:10" ht="67.5">
      <c r="A153" s="274" t="s">
        <v>186</v>
      </c>
      <c r="B153" s="172" t="s">
        <v>0</v>
      </c>
      <c r="C153" s="253" t="s">
        <v>353</v>
      </c>
      <c r="D153" s="253" t="s">
        <v>309</v>
      </c>
      <c r="E153" s="254" t="s">
        <v>439</v>
      </c>
      <c r="F153" s="249" t="s">
        <v>221</v>
      </c>
      <c r="G153" s="249" t="s">
        <v>449</v>
      </c>
      <c r="H153" s="176">
        <v>345600</v>
      </c>
      <c r="I153" s="176">
        <v>345600</v>
      </c>
      <c r="J153" s="176">
        <v>345600</v>
      </c>
    </row>
    <row r="154" spans="1:10" ht="16.5">
      <c r="A154" s="280" t="s">
        <v>403</v>
      </c>
      <c r="B154" s="171" t="s">
        <v>0</v>
      </c>
      <c r="C154" s="250" t="s">
        <v>353</v>
      </c>
      <c r="D154" s="250" t="s">
        <v>353</v>
      </c>
      <c r="E154" s="259"/>
      <c r="F154" s="251"/>
      <c r="G154" s="251"/>
      <c r="H154" s="252">
        <f aca="true" t="shared" si="11" ref="H154:J155">H155</f>
        <v>5986510</v>
      </c>
      <c r="I154" s="252">
        <f t="shared" si="11"/>
        <v>0</v>
      </c>
      <c r="J154" s="252">
        <f t="shared" si="11"/>
        <v>0</v>
      </c>
    </row>
    <row r="155" spans="1:10" ht="16.5">
      <c r="A155" s="280" t="s">
        <v>406</v>
      </c>
      <c r="B155" s="171" t="s">
        <v>0</v>
      </c>
      <c r="C155" s="250" t="s">
        <v>353</v>
      </c>
      <c r="D155" s="250" t="s">
        <v>353</v>
      </c>
      <c r="E155" s="259" t="s">
        <v>183</v>
      </c>
      <c r="F155" s="251"/>
      <c r="G155" s="251"/>
      <c r="H155" s="252">
        <f t="shared" si="11"/>
        <v>5986510</v>
      </c>
      <c r="I155" s="252">
        <f t="shared" si="11"/>
        <v>0</v>
      </c>
      <c r="J155" s="252">
        <f t="shared" si="11"/>
        <v>0</v>
      </c>
    </row>
    <row r="156" spans="1:10" ht="16.5">
      <c r="A156" s="280" t="s">
        <v>199</v>
      </c>
      <c r="B156" s="171" t="s">
        <v>0</v>
      </c>
      <c r="C156" s="250" t="s">
        <v>353</v>
      </c>
      <c r="D156" s="250" t="s">
        <v>353</v>
      </c>
      <c r="E156" s="259" t="s">
        <v>200</v>
      </c>
      <c r="F156" s="251"/>
      <c r="G156" s="251"/>
      <c r="H156" s="252">
        <f>H159+H164+H157</f>
        <v>5986510</v>
      </c>
      <c r="I156" s="252">
        <f>I159+I164+I157</f>
        <v>0</v>
      </c>
      <c r="J156" s="252">
        <f>J159+J164+J157</f>
        <v>0</v>
      </c>
    </row>
    <row r="157" spans="1:10" ht="16.5">
      <c r="A157" s="292" t="s">
        <v>731</v>
      </c>
      <c r="B157" s="172" t="s">
        <v>0</v>
      </c>
      <c r="C157" s="253" t="s">
        <v>353</v>
      </c>
      <c r="D157" s="253" t="s">
        <v>353</v>
      </c>
      <c r="E157" s="254" t="s">
        <v>730</v>
      </c>
      <c r="F157" s="249"/>
      <c r="G157" s="249"/>
      <c r="H157" s="176">
        <f>H158</f>
        <v>1000000</v>
      </c>
      <c r="I157" s="176"/>
      <c r="J157" s="176"/>
    </row>
    <row r="158" spans="1:10" ht="33.75">
      <c r="A158" s="274" t="s">
        <v>187</v>
      </c>
      <c r="B158" s="172" t="s">
        <v>0</v>
      </c>
      <c r="C158" s="253" t="s">
        <v>353</v>
      </c>
      <c r="D158" s="253" t="s">
        <v>353</v>
      </c>
      <c r="E158" s="254" t="s">
        <v>730</v>
      </c>
      <c r="F158" s="249" t="s">
        <v>244</v>
      </c>
      <c r="G158" s="249" t="s">
        <v>449</v>
      </c>
      <c r="H158" s="176">
        <v>1000000</v>
      </c>
      <c r="I158" s="176">
        <v>0</v>
      </c>
      <c r="J158" s="176">
        <v>0</v>
      </c>
    </row>
    <row r="159" spans="1:10" ht="33.75">
      <c r="A159" s="274" t="s">
        <v>484</v>
      </c>
      <c r="B159" s="172" t="s">
        <v>0</v>
      </c>
      <c r="C159" s="253" t="s">
        <v>353</v>
      </c>
      <c r="D159" s="253" t="s">
        <v>353</v>
      </c>
      <c r="E159" s="254" t="s">
        <v>440</v>
      </c>
      <c r="F159" s="249"/>
      <c r="G159" s="249"/>
      <c r="H159" s="176">
        <f>SUM(H160:H163)</f>
        <v>4986510</v>
      </c>
      <c r="I159" s="176">
        <f>SUM(I160:I163)</f>
        <v>0</v>
      </c>
      <c r="J159" s="176">
        <f>SUM(J160:J163)</f>
        <v>0</v>
      </c>
    </row>
    <row r="160" spans="1:10" ht="67.5">
      <c r="A160" s="274" t="s">
        <v>186</v>
      </c>
      <c r="B160" s="172" t="s">
        <v>0</v>
      </c>
      <c r="C160" s="253" t="s">
        <v>353</v>
      </c>
      <c r="D160" s="253" t="s">
        <v>353</v>
      </c>
      <c r="E160" s="254" t="s">
        <v>440</v>
      </c>
      <c r="F160" s="249" t="s">
        <v>221</v>
      </c>
      <c r="G160" s="249" t="s">
        <v>449</v>
      </c>
      <c r="H160" s="176">
        <v>747977</v>
      </c>
      <c r="I160" s="176">
        <v>0</v>
      </c>
      <c r="J160" s="176">
        <v>0</v>
      </c>
    </row>
    <row r="161" spans="1:10" ht="33.75">
      <c r="A161" s="274" t="s">
        <v>187</v>
      </c>
      <c r="B161" s="172" t="s">
        <v>0</v>
      </c>
      <c r="C161" s="253" t="s">
        <v>353</v>
      </c>
      <c r="D161" s="253" t="s">
        <v>353</v>
      </c>
      <c r="E161" s="254" t="s">
        <v>440</v>
      </c>
      <c r="F161" s="249" t="s">
        <v>244</v>
      </c>
      <c r="G161" s="249" t="s">
        <v>449</v>
      </c>
      <c r="H161" s="176">
        <f>1976476-747977</f>
        <v>1228499</v>
      </c>
      <c r="I161" s="176">
        <v>0</v>
      </c>
      <c r="J161" s="176">
        <v>0</v>
      </c>
    </row>
    <row r="162" spans="1:10" ht="16.5">
      <c r="A162" s="274" t="s">
        <v>188</v>
      </c>
      <c r="B162" s="172" t="s">
        <v>0</v>
      </c>
      <c r="C162" s="253" t="s">
        <v>353</v>
      </c>
      <c r="D162" s="253" t="s">
        <v>353</v>
      </c>
      <c r="E162" s="254" t="s">
        <v>440</v>
      </c>
      <c r="F162" s="249" t="s">
        <v>249</v>
      </c>
      <c r="G162" s="249" t="s">
        <v>449</v>
      </c>
      <c r="H162" s="176">
        <v>1351559</v>
      </c>
      <c r="I162" s="176">
        <v>0</v>
      </c>
      <c r="J162" s="176">
        <v>0</v>
      </c>
    </row>
    <row r="163" spans="1:10" ht="33.75">
      <c r="A163" s="288" t="s">
        <v>196</v>
      </c>
      <c r="B163" s="172" t="s">
        <v>0</v>
      </c>
      <c r="C163" s="253" t="s">
        <v>353</v>
      </c>
      <c r="D163" s="253" t="s">
        <v>353</v>
      </c>
      <c r="E163" s="254" t="s">
        <v>440</v>
      </c>
      <c r="F163" s="249" t="s">
        <v>329</v>
      </c>
      <c r="G163" s="249" t="s">
        <v>449</v>
      </c>
      <c r="H163" s="176">
        <f>1658475</f>
        <v>1658475</v>
      </c>
      <c r="I163" s="176">
        <v>0</v>
      </c>
      <c r="J163" s="176">
        <v>0</v>
      </c>
    </row>
    <row r="164" spans="1:17" s="269" customFormat="1" ht="33.75" hidden="1">
      <c r="A164" s="288" t="s">
        <v>485</v>
      </c>
      <c r="B164" s="172" t="s">
        <v>0</v>
      </c>
      <c r="C164" s="253" t="s">
        <v>353</v>
      </c>
      <c r="D164" s="253" t="s">
        <v>353</v>
      </c>
      <c r="E164" s="254" t="s">
        <v>486</v>
      </c>
      <c r="F164" s="249"/>
      <c r="G164" s="249"/>
      <c r="H164" s="176">
        <f>H165</f>
        <v>0</v>
      </c>
      <c r="I164" s="176">
        <f>I165</f>
        <v>0</v>
      </c>
      <c r="J164" s="176">
        <f>J165</f>
        <v>0</v>
      </c>
      <c r="L164" s="270"/>
      <c r="M164" s="270"/>
      <c r="N164" s="270"/>
      <c r="O164" s="270"/>
      <c r="P164" s="270"/>
      <c r="Q164" s="270"/>
    </row>
    <row r="165" spans="1:10" ht="33.75" hidden="1">
      <c r="A165" s="288" t="s">
        <v>196</v>
      </c>
      <c r="B165" s="172" t="s">
        <v>0</v>
      </c>
      <c r="C165" s="253" t="s">
        <v>353</v>
      </c>
      <c r="D165" s="253" t="s">
        <v>353</v>
      </c>
      <c r="E165" s="254" t="s">
        <v>486</v>
      </c>
      <c r="F165" s="249" t="s">
        <v>329</v>
      </c>
      <c r="G165" s="249" t="s">
        <v>449</v>
      </c>
      <c r="H165" s="176"/>
      <c r="I165" s="176"/>
      <c r="J165" s="176"/>
    </row>
    <row r="166" spans="1:10" ht="16.5">
      <c r="A166" s="289" t="s">
        <v>357</v>
      </c>
      <c r="B166" s="171" t="s">
        <v>0</v>
      </c>
      <c r="C166" s="250" t="s">
        <v>353</v>
      </c>
      <c r="D166" s="250" t="s">
        <v>358</v>
      </c>
      <c r="E166" s="259"/>
      <c r="F166" s="251"/>
      <c r="G166" s="251"/>
      <c r="H166" s="252">
        <f>H167</f>
        <v>5411840</v>
      </c>
      <c r="I166" s="252">
        <f aca="true" t="shared" si="12" ref="I166:J169">I167</f>
        <v>0</v>
      </c>
      <c r="J166" s="252">
        <f t="shared" si="12"/>
        <v>0</v>
      </c>
    </row>
    <row r="167" spans="1:10" ht="16.5">
      <c r="A167" s="280" t="s">
        <v>406</v>
      </c>
      <c r="B167" s="171" t="s">
        <v>0</v>
      </c>
      <c r="C167" s="250" t="s">
        <v>353</v>
      </c>
      <c r="D167" s="250" t="s">
        <v>358</v>
      </c>
      <c r="E167" s="259" t="s">
        <v>183</v>
      </c>
      <c r="F167" s="251"/>
      <c r="G167" s="251"/>
      <c r="H167" s="252">
        <f>H168</f>
        <v>5411840</v>
      </c>
      <c r="I167" s="252">
        <f t="shared" si="12"/>
        <v>0</v>
      </c>
      <c r="J167" s="252">
        <f t="shared" si="12"/>
        <v>0</v>
      </c>
    </row>
    <row r="168" spans="1:10" ht="16.5">
      <c r="A168" s="289" t="s">
        <v>184</v>
      </c>
      <c r="B168" s="171" t="s">
        <v>0</v>
      </c>
      <c r="C168" s="250" t="s">
        <v>353</v>
      </c>
      <c r="D168" s="250" t="s">
        <v>358</v>
      </c>
      <c r="E168" s="259" t="s">
        <v>185</v>
      </c>
      <c r="F168" s="251"/>
      <c r="G168" s="251"/>
      <c r="H168" s="252">
        <f>H169</f>
        <v>5411840</v>
      </c>
      <c r="I168" s="252">
        <f t="shared" si="12"/>
        <v>0</v>
      </c>
      <c r="J168" s="252">
        <f t="shared" si="12"/>
        <v>0</v>
      </c>
    </row>
    <row r="169" spans="1:10" ht="33.75">
      <c r="A169" s="274" t="s">
        <v>328</v>
      </c>
      <c r="B169" s="172" t="s">
        <v>0</v>
      </c>
      <c r="C169" s="253" t="s">
        <v>353</v>
      </c>
      <c r="D169" s="253" t="s">
        <v>358</v>
      </c>
      <c r="E169" s="254" t="s">
        <v>487</v>
      </c>
      <c r="F169" s="249"/>
      <c r="G169" s="249"/>
      <c r="H169" s="176">
        <f>H170</f>
        <v>5411840</v>
      </c>
      <c r="I169" s="176">
        <f t="shared" si="12"/>
        <v>0</v>
      </c>
      <c r="J169" s="176">
        <f t="shared" si="12"/>
        <v>0</v>
      </c>
    </row>
    <row r="170" spans="1:10" ht="67.5">
      <c r="A170" s="274" t="s">
        <v>186</v>
      </c>
      <c r="B170" s="172" t="s">
        <v>0</v>
      </c>
      <c r="C170" s="253" t="s">
        <v>353</v>
      </c>
      <c r="D170" s="253" t="s">
        <v>358</v>
      </c>
      <c r="E170" s="254" t="s">
        <v>487</v>
      </c>
      <c r="F170" s="249" t="s">
        <v>221</v>
      </c>
      <c r="G170" s="249" t="s">
        <v>449</v>
      </c>
      <c r="H170" s="176">
        <v>5411840</v>
      </c>
      <c r="I170" s="176">
        <v>0</v>
      </c>
      <c r="J170" s="176">
        <v>0</v>
      </c>
    </row>
    <row r="171" spans="1:10" ht="16.5">
      <c r="A171" s="280" t="s">
        <v>359</v>
      </c>
      <c r="B171" s="171" t="s">
        <v>0</v>
      </c>
      <c r="C171" s="71" t="s">
        <v>360</v>
      </c>
      <c r="D171" s="71"/>
      <c r="E171" s="35"/>
      <c r="F171" s="251"/>
      <c r="G171" s="251"/>
      <c r="H171" s="252">
        <f>H172+H183</f>
        <v>8640170</v>
      </c>
      <c r="I171" s="252">
        <f>I172+I183</f>
        <v>0</v>
      </c>
      <c r="J171" s="252">
        <f>J172+J183</f>
        <v>0</v>
      </c>
    </row>
    <row r="172" spans="1:17" s="269" customFormat="1" ht="16.5">
      <c r="A172" s="280" t="s">
        <v>361</v>
      </c>
      <c r="B172" s="171" t="s">
        <v>0</v>
      </c>
      <c r="C172" s="71" t="s">
        <v>360</v>
      </c>
      <c r="D172" s="71" t="s">
        <v>299</v>
      </c>
      <c r="E172" s="35"/>
      <c r="F172" s="251"/>
      <c r="G172" s="251"/>
      <c r="H172" s="252">
        <f aca="true" t="shared" si="13" ref="H172:J173">H173</f>
        <v>6859510</v>
      </c>
      <c r="I172" s="252">
        <f t="shared" si="13"/>
        <v>0</v>
      </c>
      <c r="J172" s="252">
        <f t="shared" si="13"/>
        <v>0</v>
      </c>
      <c r="L172" s="270"/>
      <c r="M172" s="270"/>
      <c r="N172" s="270"/>
      <c r="O172" s="270"/>
      <c r="P172" s="270"/>
      <c r="Q172" s="270"/>
    </row>
    <row r="173" spans="1:10" ht="16.5">
      <c r="A173" s="280" t="s">
        <v>201</v>
      </c>
      <c r="B173" s="171" t="s">
        <v>0</v>
      </c>
      <c r="C173" s="71" t="s">
        <v>360</v>
      </c>
      <c r="D173" s="71" t="s">
        <v>299</v>
      </c>
      <c r="E173" s="63" t="s">
        <v>202</v>
      </c>
      <c r="F173" s="251"/>
      <c r="G173" s="251"/>
      <c r="H173" s="252">
        <f t="shared" si="13"/>
        <v>6859510</v>
      </c>
      <c r="I173" s="252">
        <f t="shared" si="13"/>
        <v>0</v>
      </c>
      <c r="J173" s="252">
        <f t="shared" si="13"/>
        <v>0</v>
      </c>
    </row>
    <row r="174" spans="1:10" ht="51">
      <c r="A174" s="273" t="s">
        <v>206</v>
      </c>
      <c r="B174" s="171" t="s">
        <v>0</v>
      </c>
      <c r="C174" s="250" t="s">
        <v>360</v>
      </c>
      <c r="D174" s="250" t="s">
        <v>299</v>
      </c>
      <c r="E174" s="259" t="s">
        <v>207</v>
      </c>
      <c r="F174" s="251"/>
      <c r="G174" s="251"/>
      <c r="H174" s="252">
        <f>H181+H175+H178</f>
        <v>6859510</v>
      </c>
      <c r="I174" s="252">
        <f>I181+I175+I178</f>
        <v>0</v>
      </c>
      <c r="J174" s="252">
        <f>J181+J175+J178</f>
        <v>0</v>
      </c>
    </row>
    <row r="175" spans="1:10" ht="16.5">
      <c r="A175" s="274" t="s">
        <v>208</v>
      </c>
      <c r="B175" s="172" t="s">
        <v>0</v>
      </c>
      <c r="C175" s="253" t="s">
        <v>360</v>
      </c>
      <c r="D175" s="253" t="s">
        <v>299</v>
      </c>
      <c r="E175" s="254" t="s">
        <v>289</v>
      </c>
      <c r="F175" s="249"/>
      <c r="G175" s="249"/>
      <c r="H175" s="176">
        <f aca="true" t="shared" si="14" ref="H175:J176">H176</f>
        <v>6423540</v>
      </c>
      <c r="I175" s="176">
        <f t="shared" si="14"/>
        <v>0</v>
      </c>
      <c r="J175" s="176">
        <f t="shared" si="14"/>
        <v>0</v>
      </c>
    </row>
    <row r="176" spans="1:10" ht="33.75">
      <c r="A176" s="274" t="s">
        <v>328</v>
      </c>
      <c r="B176" s="172" t="s">
        <v>0</v>
      </c>
      <c r="C176" s="253" t="s">
        <v>360</v>
      </c>
      <c r="D176" s="253" t="s">
        <v>299</v>
      </c>
      <c r="E176" s="254" t="s">
        <v>488</v>
      </c>
      <c r="F176" s="249"/>
      <c r="G176" s="249"/>
      <c r="H176" s="176">
        <f t="shared" si="14"/>
        <v>6423540</v>
      </c>
      <c r="I176" s="176">
        <f t="shared" si="14"/>
        <v>0</v>
      </c>
      <c r="J176" s="176">
        <f t="shared" si="14"/>
        <v>0</v>
      </c>
    </row>
    <row r="177" spans="1:10" ht="67.5">
      <c r="A177" s="274" t="s">
        <v>186</v>
      </c>
      <c r="B177" s="172" t="s">
        <v>0</v>
      </c>
      <c r="C177" s="253" t="s">
        <v>360</v>
      </c>
      <c r="D177" s="253" t="s">
        <v>299</v>
      </c>
      <c r="E177" s="254" t="s">
        <v>488</v>
      </c>
      <c r="F177" s="249" t="s">
        <v>221</v>
      </c>
      <c r="G177" s="249" t="s">
        <v>449</v>
      </c>
      <c r="H177" s="176">
        <f>1295240+5128300</f>
        <v>6423540</v>
      </c>
      <c r="I177" s="176">
        <v>0</v>
      </c>
      <c r="J177" s="176">
        <v>0</v>
      </c>
    </row>
    <row r="178" spans="1:10" ht="16.5">
      <c r="A178" s="274" t="s">
        <v>209</v>
      </c>
      <c r="B178" s="172" t="s">
        <v>0</v>
      </c>
      <c r="C178" s="253" t="s">
        <v>360</v>
      </c>
      <c r="D178" s="253" t="s">
        <v>299</v>
      </c>
      <c r="E178" s="254" t="s">
        <v>489</v>
      </c>
      <c r="F178" s="249"/>
      <c r="G178" s="249"/>
      <c r="H178" s="176">
        <f aca="true" t="shared" si="15" ref="H178:J179">H179</f>
        <v>435970</v>
      </c>
      <c r="I178" s="176">
        <f t="shared" si="15"/>
        <v>0</v>
      </c>
      <c r="J178" s="176">
        <f t="shared" si="15"/>
        <v>0</v>
      </c>
    </row>
    <row r="179" spans="1:10" ht="33.75">
      <c r="A179" s="274" t="s">
        <v>328</v>
      </c>
      <c r="B179" s="172" t="s">
        <v>0</v>
      </c>
      <c r="C179" s="253" t="s">
        <v>360</v>
      </c>
      <c r="D179" s="253" t="s">
        <v>299</v>
      </c>
      <c r="E179" s="254" t="s">
        <v>489</v>
      </c>
      <c r="F179" s="249"/>
      <c r="G179" s="249"/>
      <c r="H179" s="176">
        <f t="shared" si="15"/>
        <v>435970</v>
      </c>
      <c r="I179" s="176">
        <f t="shared" si="15"/>
        <v>0</v>
      </c>
      <c r="J179" s="176">
        <f t="shared" si="15"/>
        <v>0</v>
      </c>
    </row>
    <row r="180" spans="1:10" ht="67.5">
      <c r="A180" s="274" t="s">
        <v>186</v>
      </c>
      <c r="B180" s="172" t="s">
        <v>0</v>
      </c>
      <c r="C180" s="253" t="s">
        <v>360</v>
      </c>
      <c r="D180" s="253" t="s">
        <v>299</v>
      </c>
      <c r="E180" s="254" t="s">
        <v>489</v>
      </c>
      <c r="F180" s="249" t="s">
        <v>221</v>
      </c>
      <c r="G180" s="249" t="s">
        <v>449</v>
      </c>
      <c r="H180" s="176">
        <v>435970</v>
      </c>
      <c r="I180" s="176">
        <v>0</v>
      </c>
      <c r="J180" s="176">
        <v>0</v>
      </c>
    </row>
    <row r="181" spans="1:10" ht="33.75" hidden="1">
      <c r="A181" s="284" t="s">
        <v>490</v>
      </c>
      <c r="B181" s="172" t="s">
        <v>0</v>
      </c>
      <c r="C181" s="253" t="s">
        <v>360</v>
      </c>
      <c r="D181" s="253" t="s">
        <v>299</v>
      </c>
      <c r="E181" s="254" t="s">
        <v>491</v>
      </c>
      <c r="F181" s="249"/>
      <c r="G181" s="249"/>
      <c r="H181" s="176">
        <f>H182</f>
        <v>0</v>
      </c>
      <c r="I181" s="176">
        <f>I182</f>
        <v>0</v>
      </c>
      <c r="J181" s="176">
        <f>J182</f>
        <v>0</v>
      </c>
    </row>
    <row r="182" spans="1:10" ht="33.75" hidden="1">
      <c r="A182" s="274" t="s">
        <v>187</v>
      </c>
      <c r="B182" s="172" t="s">
        <v>0</v>
      </c>
      <c r="C182" s="253" t="s">
        <v>360</v>
      </c>
      <c r="D182" s="253" t="s">
        <v>299</v>
      </c>
      <c r="E182" s="254" t="s">
        <v>491</v>
      </c>
      <c r="F182" s="249" t="s">
        <v>244</v>
      </c>
      <c r="G182" s="249" t="s">
        <v>449</v>
      </c>
      <c r="H182" s="176"/>
      <c r="I182" s="176"/>
      <c r="J182" s="176"/>
    </row>
    <row r="183" spans="1:10" ht="16.5">
      <c r="A183" s="280" t="s">
        <v>411</v>
      </c>
      <c r="B183" s="172" t="s">
        <v>0</v>
      </c>
      <c r="C183" s="253" t="s">
        <v>360</v>
      </c>
      <c r="D183" s="253" t="s">
        <v>313</v>
      </c>
      <c r="E183" s="254"/>
      <c r="F183" s="249"/>
      <c r="G183" s="249"/>
      <c r="H183" s="176">
        <f>H184</f>
        <v>1780660</v>
      </c>
      <c r="I183" s="176">
        <f aca="true" t="shared" si="16" ref="I183:J186">I184</f>
        <v>0</v>
      </c>
      <c r="J183" s="176">
        <f t="shared" si="16"/>
        <v>0</v>
      </c>
    </row>
    <row r="184" spans="1:10" ht="16.5">
      <c r="A184" s="280" t="s">
        <v>201</v>
      </c>
      <c r="B184" s="172" t="s">
        <v>0</v>
      </c>
      <c r="C184" s="253" t="s">
        <v>360</v>
      </c>
      <c r="D184" s="253" t="s">
        <v>313</v>
      </c>
      <c r="E184" s="254" t="s">
        <v>202</v>
      </c>
      <c r="F184" s="249"/>
      <c r="G184" s="249"/>
      <c r="H184" s="176">
        <f>H185</f>
        <v>1780660</v>
      </c>
      <c r="I184" s="176">
        <f t="shared" si="16"/>
        <v>0</v>
      </c>
      <c r="J184" s="176">
        <f t="shared" si="16"/>
        <v>0</v>
      </c>
    </row>
    <row r="185" spans="1:10" ht="16.5">
      <c r="A185" s="281" t="s">
        <v>184</v>
      </c>
      <c r="B185" s="172" t="s">
        <v>0</v>
      </c>
      <c r="C185" s="253" t="s">
        <v>360</v>
      </c>
      <c r="D185" s="253" t="s">
        <v>313</v>
      </c>
      <c r="E185" s="254" t="s">
        <v>203</v>
      </c>
      <c r="F185" s="249"/>
      <c r="G185" s="249"/>
      <c r="H185" s="176">
        <f>H186</f>
        <v>1780660</v>
      </c>
      <c r="I185" s="176">
        <f t="shared" si="16"/>
        <v>0</v>
      </c>
      <c r="J185" s="176">
        <f t="shared" si="16"/>
        <v>0</v>
      </c>
    </row>
    <row r="186" spans="1:10" ht="16.5">
      <c r="A186" s="274" t="s">
        <v>492</v>
      </c>
      <c r="B186" s="172" t="s">
        <v>0</v>
      </c>
      <c r="C186" s="253" t="s">
        <v>360</v>
      </c>
      <c r="D186" s="253" t="s">
        <v>313</v>
      </c>
      <c r="E186" s="254" t="s">
        <v>493</v>
      </c>
      <c r="F186" s="249"/>
      <c r="G186" s="249"/>
      <c r="H186" s="176">
        <f>H187</f>
        <v>1780660</v>
      </c>
      <c r="I186" s="176">
        <f t="shared" si="16"/>
        <v>0</v>
      </c>
      <c r="J186" s="176">
        <f t="shared" si="16"/>
        <v>0</v>
      </c>
    </row>
    <row r="187" spans="1:10" ht="67.5">
      <c r="A187" s="274" t="s">
        <v>186</v>
      </c>
      <c r="B187" s="172" t="s">
        <v>0</v>
      </c>
      <c r="C187" s="253" t="s">
        <v>360</v>
      </c>
      <c r="D187" s="253" t="s">
        <v>313</v>
      </c>
      <c r="E187" s="254" t="s">
        <v>493</v>
      </c>
      <c r="F187" s="249" t="s">
        <v>221</v>
      </c>
      <c r="G187" s="249" t="s">
        <v>449</v>
      </c>
      <c r="H187" s="176">
        <v>1780660</v>
      </c>
      <c r="I187" s="176">
        <v>0</v>
      </c>
      <c r="J187" s="176">
        <v>0</v>
      </c>
    </row>
    <row r="188" spans="1:10" ht="16.5">
      <c r="A188" s="293" t="s">
        <v>364</v>
      </c>
      <c r="B188" s="171" t="s">
        <v>0</v>
      </c>
      <c r="C188" s="250" t="s">
        <v>336</v>
      </c>
      <c r="D188" s="253"/>
      <c r="E188" s="253"/>
      <c r="F188" s="249"/>
      <c r="G188" s="249"/>
      <c r="H188" s="252">
        <f>H189+H194+H223</f>
        <v>130386582.3</v>
      </c>
      <c r="I188" s="252">
        <f>I189+I194+I223</f>
        <v>44063014.74</v>
      </c>
      <c r="J188" s="252">
        <f>J189+J194+J223</f>
        <v>44063014.74</v>
      </c>
    </row>
    <row r="189" spans="1:10" ht="16.5">
      <c r="A189" s="294" t="s">
        <v>365</v>
      </c>
      <c r="B189" s="171" t="s">
        <v>0</v>
      </c>
      <c r="C189" s="71" t="s">
        <v>336</v>
      </c>
      <c r="D189" s="71" t="s">
        <v>299</v>
      </c>
      <c r="E189" s="71"/>
      <c r="F189" s="170"/>
      <c r="G189" s="170"/>
      <c r="H189" s="252">
        <f aca="true" t="shared" si="17" ref="H189:J192">H190</f>
        <v>2639884.92</v>
      </c>
      <c r="I189" s="252">
        <f t="shared" si="17"/>
        <v>0</v>
      </c>
      <c r="J189" s="252">
        <f t="shared" si="17"/>
        <v>0</v>
      </c>
    </row>
    <row r="190" spans="1:10" ht="16.5">
      <c r="A190" s="294" t="s">
        <v>302</v>
      </c>
      <c r="B190" s="171" t="s">
        <v>0</v>
      </c>
      <c r="C190" s="71" t="s">
        <v>336</v>
      </c>
      <c r="D190" s="71" t="s">
        <v>299</v>
      </c>
      <c r="E190" s="71" t="s">
        <v>303</v>
      </c>
      <c r="F190" s="170"/>
      <c r="G190" s="170"/>
      <c r="H190" s="252">
        <f>H191</f>
        <v>2639884.92</v>
      </c>
      <c r="I190" s="252">
        <f>I191</f>
        <v>0</v>
      </c>
      <c r="J190" s="252">
        <f t="shared" si="17"/>
        <v>0</v>
      </c>
    </row>
    <row r="191" spans="1:10" ht="16.5">
      <c r="A191" s="274" t="s">
        <v>322</v>
      </c>
      <c r="B191" s="172" t="s">
        <v>0</v>
      </c>
      <c r="C191" s="72" t="s">
        <v>336</v>
      </c>
      <c r="D191" s="72" t="s">
        <v>299</v>
      </c>
      <c r="E191" s="72" t="s">
        <v>323</v>
      </c>
      <c r="F191" s="177"/>
      <c r="G191" s="177"/>
      <c r="H191" s="176">
        <f>H192</f>
        <v>2639884.92</v>
      </c>
      <c r="I191" s="176">
        <f>I192</f>
        <v>0</v>
      </c>
      <c r="J191" s="176">
        <f>J192</f>
        <v>0</v>
      </c>
    </row>
    <row r="192" spans="1:10" ht="51">
      <c r="A192" s="155" t="s">
        <v>636</v>
      </c>
      <c r="B192" s="172" t="s">
        <v>0</v>
      </c>
      <c r="C192" s="72" t="s">
        <v>336</v>
      </c>
      <c r="D192" s="72" t="s">
        <v>299</v>
      </c>
      <c r="E192" s="72" t="s">
        <v>637</v>
      </c>
      <c r="F192" s="173"/>
      <c r="G192" s="173"/>
      <c r="H192" s="176">
        <f t="shared" si="17"/>
        <v>2639884.92</v>
      </c>
      <c r="I192" s="176">
        <f t="shared" si="17"/>
        <v>0</v>
      </c>
      <c r="J192" s="176">
        <f t="shared" si="17"/>
        <v>0</v>
      </c>
    </row>
    <row r="193" spans="1:10" ht="16.5">
      <c r="A193" s="282" t="s">
        <v>188</v>
      </c>
      <c r="B193" s="172" t="s">
        <v>0</v>
      </c>
      <c r="C193" s="72" t="s">
        <v>336</v>
      </c>
      <c r="D193" s="72" t="s">
        <v>299</v>
      </c>
      <c r="E193" s="72" t="s">
        <v>637</v>
      </c>
      <c r="F193" s="72" t="s">
        <v>249</v>
      </c>
      <c r="G193" s="249" t="s">
        <v>429</v>
      </c>
      <c r="H193" s="176">
        <v>2639884.92</v>
      </c>
      <c r="I193" s="176">
        <v>0</v>
      </c>
      <c r="J193" s="18">
        <v>0</v>
      </c>
    </row>
    <row r="194" spans="1:10" ht="16.5">
      <c r="A194" s="295" t="s">
        <v>369</v>
      </c>
      <c r="B194" s="171" t="s">
        <v>0</v>
      </c>
      <c r="C194" s="250" t="s">
        <v>336</v>
      </c>
      <c r="D194" s="250" t="s">
        <v>313</v>
      </c>
      <c r="E194" s="250"/>
      <c r="F194" s="251"/>
      <c r="G194" s="251"/>
      <c r="H194" s="252">
        <f>H195+H204+H200</f>
        <v>120800418.08</v>
      </c>
      <c r="I194" s="252">
        <f>I195+I204+I200</f>
        <v>37899200</v>
      </c>
      <c r="J194" s="252">
        <f>J195+J204+J200</f>
        <v>37899200</v>
      </c>
    </row>
    <row r="195" spans="1:10" ht="16.5">
      <c r="A195" s="273" t="s">
        <v>182</v>
      </c>
      <c r="B195" s="171" t="s">
        <v>0</v>
      </c>
      <c r="C195" s="250" t="s">
        <v>336</v>
      </c>
      <c r="D195" s="250" t="s">
        <v>313</v>
      </c>
      <c r="E195" s="250" t="s">
        <v>183</v>
      </c>
      <c r="F195" s="251"/>
      <c r="G195" s="251"/>
      <c r="H195" s="252">
        <f aca="true" t="shared" si="18" ref="H195:J196">H196</f>
        <v>1996269.9999999998</v>
      </c>
      <c r="I195" s="252">
        <f t="shared" si="18"/>
        <v>6258000</v>
      </c>
      <c r="J195" s="252">
        <f t="shared" si="18"/>
        <v>6258000</v>
      </c>
    </row>
    <row r="196" spans="1:10" ht="16.5">
      <c r="A196" s="286" t="s">
        <v>190</v>
      </c>
      <c r="B196" s="171" t="s">
        <v>0</v>
      </c>
      <c r="C196" s="250" t="s">
        <v>336</v>
      </c>
      <c r="D196" s="250" t="s">
        <v>313</v>
      </c>
      <c r="E196" s="250" t="s">
        <v>191</v>
      </c>
      <c r="F196" s="251"/>
      <c r="G196" s="251"/>
      <c r="H196" s="252">
        <f t="shared" si="18"/>
        <v>1996269.9999999998</v>
      </c>
      <c r="I196" s="252">
        <f t="shared" si="18"/>
        <v>6258000</v>
      </c>
      <c r="J196" s="252">
        <f t="shared" si="18"/>
        <v>6258000</v>
      </c>
    </row>
    <row r="197" spans="1:10" ht="67.5">
      <c r="A197" s="296" t="s">
        <v>494</v>
      </c>
      <c r="B197" s="172" t="s">
        <v>0</v>
      </c>
      <c r="C197" s="253" t="s">
        <v>336</v>
      </c>
      <c r="D197" s="253" t="s">
        <v>313</v>
      </c>
      <c r="E197" s="253" t="s">
        <v>495</v>
      </c>
      <c r="F197" s="249"/>
      <c r="G197" s="249"/>
      <c r="H197" s="176">
        <f>SUM(H198:H199)</f>
        <v>1996269.9999999998</v>
      </c>
      <c r="I197" s="176">
        <f>SUM(I198:I199)</f>
        <v>6258000</v>
      </c>
      <c r="J197" s="176">
        <f>SUM(J198:J199)</f>
        <v>6258000</v>
      </c>
    </row>
    <row r="198" spans="1:10" ht="33.75">
      <c r="A198" s="274" t="s">
        <v>187</v>
      </c>
      <c r="B198" s="172" t="s">
        <v>0</v>
      </c>
      <c r="C198" s="253" t="s">
        <v>336</v>
      </c>
      <c r="D198" s="253" t="s">
        <v>313</v>
      </c>
      <c r="E198" s="253" t="s">
        <v>495</v>
      </c>
      <c r="F198" s="249" t="s">
        <v>244</v>
      </c>
      <c r="G198" s="249" t="s">
        <v>449</v>
      </c>
      <c r="H198" s="176">
        <f>187740-63704.89</f>
        <v>124035.11</v>
      </c>
      <c r="I198" s="176">
        <v>187740</v>
      </c>
      <c r="J198" s="176">
        <v>187740</v>
      </c>
    </row>
    <row r="199" spans="1:10" ht="16.5">
      <c r="A199" s="282" t="s">
        <v>188</v>
      </c>
      <c r="B199" s="172" t="s">
        <v>0</v>
      </c>
      <c r="C199" s="253" t="s">
        <v>336</v>
      </c>
      <c r="D199" s="253" t="s">
        <v>313</v>
      </c>
      <c r="E199" s="253" t="s">
        <v>495</v>
      </c>
      <c r="F199" s="249" t="s">
        <v>249</v>
      </c>
      <c r="G199" s="249" t="s">
        <v>449</v>
      </c>
      <c r="H199" s="176">
        <f>6070260-4198025.11</f>
        <v>1872234.8899999997</v>
      </c>
      <c r="I199" s="176">
        <v>6070260</v>
      </c>
      <c r="J199" s="176">
        <v>6070260</v>
      </c>
    </row>
    <row r="200" spans="1:10" ht="33.75">
      <c r="A200" s="283" t="s">
        <v>252</v>
      </c>
      <c r="B200" s="171" t="s">
        <v>0</v>
      </c>
      <c r="C200" s="250" t="s">
        <v>336</v>
      </c>
      <c r="D200" s="250" t="s">
        <v>313</v>
      </c>
      <c r="E200" s="250" t="s">
        <v>253</v>
      </c>
      <c r="F200" s="251"/>
      <c r="G200" s="251"/>
      <c r="H200" s="252">
        <f>H201</f>
        <v>19908480.08</v>
      </c>
      <c r="I200" s="252">
        <f aca="true" t="shared" si="19" ref="I200:J202">I201</f>
        <v>0</v>
      </c>
      <c r="J200" s="252">
        <f t="shared" si="19"/>
        <v>0</v>
      </c>
    </row>
    <row r="201" spans="1:10" ht="16.5">
      <c r="A201" s="283" t="s">
        <v>256</v>
      </c>
      <c r="B201" s="171" t="s">
        <v>0</v>
      </c>
      <c r="C201" s="250" t="s">
        <v>336</v>
      </c>
      <c r="D201" s="250" t="s">
        <v>313</v>
      </c>
      <c r="E201" s="250" t="s">
        <v>257</v>
      </c>
      <c r="F201" s="251"/>
      <c r="G201" s="251"/>
      <c r="H201" s="252">
        <f>H202</f>
        <v>19908480.08</v>
      </c>
      <c r="I201" s="252">
        <f t="shared" si="19"/>
        <v>0</v>
      </c>
      <c r="J201" s="252">
        <f t="shared" si="19"/>
        <v>0</v>
      </c>
    </row>
    <row r="202" spans="1:10" ht="16.5">
      <c r="A202" s="282" t="s">
        <v>496</v>
      </c>
      <c r="B202" s="172" t="s">
        <v>0</v>
      </c>
      <c r="C202" s="253" t="s">
        <v>336</v>
      </c>
      <c r="D202" s="253" t="s">
        <v>313</v>
      </c>
      <c r="E202" s="253" t="s">
        <v>497</v>
      </c>
      <c r="F202" s="249"/>
      <c r="G202" s="249"/>
      <c r="H202" s="176">
        <f>H203</f>
        <v>19908480.08</v>
      </c>
      <c r="I202" s="176">
        <f t="shared" si="19"/>
        <v>0</v>
      </c>
      <c r="J202" s="176">
        <f t="shared" si="19"/>
        <v>0</v>
      </c>
    </row>
    <row r="203" spans="1:10" ht="16.5">
      <c r="A203" s="282" t="s">
        <v>188</v>
      </c>
      <c r="B203" s="172" t="s">
        <v>0</v>
      </c>
      <c r="C203" s="253" t="s">
        <v>336</v>
      </c>
      <c r="D203" s="253" t="s">
        <v>313</v>
      </c>
      <c r="E203" s="253" t="s">
        <v>497</v>
      </c>
      <c r="F203" s="249" t="s">
        <v>249</v>
      </c>
      <c r="G203" s="249" t="s">
        <v>449</v>
      </c>
      <c r="H203" s="176">
        <v>19908480.08</v>
      </c>
      <c r="I203" s="176">
        <v>0</v>
      </c>
      <c r="J203" s="176">
        <v>0</v>
      </c>
    </row>
    <row r="204" spans="1:10" ht="16.5">
      <c r="A204" s="294" t="s">
        <v>302</v>
      </c>
      <c r="B204" s="171" t="s">
        <v>0</v>
      </c>
      <c r="C204" s="250" t="s">
        <v>336</v>
      </c>
      <c r="D204" s="250" t="s">
        <v>313</v>
      </c>
      <c r="E204" s="71" t="s">
        <v>303</v>
      </c>
      <c r="F204" s="251"/>
      <c r="G204" s="251"/>
      <c r="H204" s="252">
        <f>H205</f>
        <v>98895668</v>
      </c>
      <c r="I204" s="252">
        <f>I205</f>
        <v>31641200</v>
      </c>
      <c r="J204" s="252">
        <f>J205</f>
        <v>31641200</v>
      </c>
    </row>
    <row r="205" spans="1:10" ht="16.5">
      <c r="A205" s="273" t="s">
        <v>322</v>
      </c>
      <c r="B205" s="171" t="s">
        <v>0</v>
      </c>
      <c r="C205" s="250" t="s">
        <v>336</v>
      </c>
      <c r="D205" s="250" t="s">
        <v>313</v>
      </c>
      <c r="E205" s="71" t="s">
        <v>323</v>
      </c>
      <c r="F205" s="251"/>
      <c r="G205" s="251"/>
      <c r="H205" s="252">
        <f>H206+H208+H211+H213+H215+H217+H219+H221</f>
        <v>98895668</v>
      </c>
      <c r="I205" s="252">
        <f>I206+I208+I211+I213+I215+I217+I219</f>
        <v>31641200</v>
      </c>
      <c r="J205" s="252">
        <f>J206+J208+J211+J213+J215+J217+J219</f>
        <v>31641200</v>
      </c>
    </row>
    <row r="206" spans="1:10" ht="33.75" hidden="1">
      <c r="A206" s="284" t="s">
        <v>498</v>
      </c>
      <c r="B206" s="172" t="s">
        <v>0</v>
      </c>
      <c r="C206" s="253" t="s">
        <v>336</v>
      </c>
      <c r="D206" s="253" t="s">
        <v>313</v>
      </c>
      <c r="E206" s="72" t="s">
        <v>499</v>
      </c>
      <c r="F206" s="251"/>
      <c r="G206" s="251"/>
      <c r="H206" s="176">
        <f>H207</f>
        <v>0</v>
      </c>
      <c r="I206" s="176">
        <f>I207</f>
        <v>0</v>
      </c>
      <c r="J206" s="176">
        <f>J207</f>
        <v>0</v>
      </c>
    </row>
    <row r="207" spans="1:10" ht="16.5" hidden="1">
      <c r="A207" s="282" t="s">
        <v>188</v>
      </c>
      <c r="B207" s="172" t="s">
        <v>0</v>
      </c>
      <c r="C207" s="253" t="s">
        <v>336</v>
      </c>
      <c r="D207" s="253" t="s">
        <v>313</v>
      </c>
      <c r="E207" s="72" t="s">
        <v>499</v>
      </c>
      <c r="F207" s="249" t="s">
        <v>249</v>
      </c>
      <c r="G207" s="249" t="s">
        <v>449</v>
      </c>
      <c r="H207" s="176"/>
      <c r="I207" s="176"/>
      <c r="J207" s="176"/>
    </row>
    <row r="208" spans="1:10" ht="67.5">
      <c r="A208" s="282" t="s">
        <v>161</v>
      </c>
      <c r="B208" s="172" t="s">
        <v>0</v>
      </c>
      <c r="C208" s="253" t="s">
        <v>336</v>
      </c>
      <c r="D208" s="253" t="s">
        <v>313</v>
      </c>
      <c r="E208" s="253" t="s">
        <v>500</v>
      </c>
      <c r="F208" s="249"/>
      <c r="G208" s="249"/>
      <c r="H208" s="176">
        <f>H210+H209</f>
        <v>55621368</v>
      </c>
      <c r="I208" s="176">
        <f>I210+I209</f>
        <v>0</v>
      </c>
      <c r="J208" s="176">
        <f>J210+J209</f>
        <v>0</v>
      </c>
    </row>
    <row r="209" spans="1:10" ht="16.5">
      <c r="A209" s="282" t="s">
        <v>188</v>
      </c>
      <c r="B209" s="172" t="s">
        <v>0</v>
      </c>
      <c r="C209" s="253" t="s">
        <v>336</v>
      </c>
      <c r="D209" s="253" t="s">
        <v>313</v>
      </c>
      <c r="E209" s="253" t="s">
        <v>500</v>
      </c>
      <c r="F209" s="249" t="s">
        <v>249</v>
      </c>
      <c r="G209" s="249" t="s">
        <v>449</v>
      </c>
      <c r="H209" s="176">
        <v>4635114</v>
      </c>
      <c r="I209" s="176">
        <v>0</v>
      </c>
      <c r="J209" s="176">
        <v>0</v>
      </c>
    </row>
    <row r="210" spans="1:10" ht="33.75">
      <c r="A210" s="274" t="s">
        <v>264</v>
      </c>
      <c r="B210" s="172" t="s">
        <v>0</v>
      </c>
      <c r="C210" s="253" t="s">
        <v>336</v>
      </c>
      <c r="D210" s="253" t="s">
        <v>313</v>
      </c>
      <c r="E210" s="253" t="s">
        <v>500</v>
      </c>
      <c r="F210" s="249" t="s">
        <v>258</v>
      </c>
      <c r="G210" s="249" t="s">
        <v>449</v>
      </c>
      <c r="H210" s="176">
        <f>55621368-4635114</f>
        <v>50986254</v>
      </c>
      <c r="I210" s="176">
        <v>0</v>
      </c>
      <c r="J210" s="176">
        <v>0</v>
      </c>
    </row>
    <row r="211" spans="1:10" ht="51">
      <c r="A211" s="291" t="s">
        <v>441</v>
      </c>
      <c r="B211" s="172" t="s">
        <v>0</v>
      </c>
      <c r="C211" s="253" t="s">
        <v>336</v>
      </c>
      <c r="D211" s="253" t="s">
        <v>313</v>
      </c>
      <c r="E211" s="254" t="s">
        <v>501</v>
      </c>
      <c r="F211" s="249"/>
      <c r="G211" s="249"/>
      <c r="H211" s="176">
        <f>H212</f>
        <v>37608400</v>
      </c>
      <c r="I211" s="176">
        <f>I212</f>
        <v>25975300</v>
      </c>
      <c r="J211" s="176">
        <f>J212</f>
        <v>25975300</v>
      </c>
    </row>
    <row r="212" spans="1:10" ht="16.5">
      <c r="A212" s="282" t="s">
        <v>188</v>
      </c>
      <c r="B212" s="172" t="s">
        <v>0</v>
      </c>
      <c r="C212" s="253" t="s">
        <v>336</v>
      </c>
      <c r="D212" s="253" t="s">
        <v>313</v>
      </c>
      <c r="E212" s="254" t="s">
        <v>501</v>
      </c>
      <c r="F212" s="249" t="s">
        <v>249</v>
      </c>
      <c r="G212" s="249" t="s">
        <v>449</v>
      </c>
      <c r="H212" s="176">
        <v>37608400</v>
      </c>
      <c r="I212" s="297">
        <v>25975300</v>
      </c>
      <c r="J212" s="297">
        <v>25975300</v>
      </c>
    </row>
    <row r="213" spans="1:10" ht="33.75">
      <c r="A213" s="291" t="s">
        <v>442</v>
      </c>
      <c r="B213" s="172" t="s">
        <v>0</v>
      </c>
      <c r="C213" s="253" t="s">
        <v>336</v>
      </c>
      <c r="D213" s="253" t="s">
        <v>313</v>
      </c>
      <c r="E213" s="254" t="s">
        <v>502</v>
      </c>
      <c r="F213" s="249"/>
      <c r="G213" s="249"/>
      <c r="H213" s="176">
        <f>H214</f>
        <v>3300000</v>
      </c>
      <c r="I213" s="176">
        <f>I214</f>
        <v>3300000</v>
      </c>
      <c r="J213" s="176">
        <f>J214</f>
        <v>3300000</v>
      </c>
    </row>
    <row r="214" spans="1:10" ht="16.5">
      <c r="A214" s="282" t="s">
        <v>188</v>
      </c>
      <c r="B214" s="172" t="s">
        <v>0</v>
      </c>
      <c r="C214" s="253" t="s">
        <v>336</v>
      </c>
      <c r="D214" s="253" t="s">
        <v>313</v>
      </c>
      <c r="E214" s="254" t="s">
        <v>502</v>
      </c>
      <c r="F214" s="249" t="s">
        <v>249</v>
      </c>
      <c r="G214" s="249" t="s">
        <v>449</v>
      </c>
      <c r="H214" s="176">
        <v>3300000</v>
      </c>
      <c r="I214" s="176">
        <v>3300000</v>
      </c>
      <c r="J214" s="176">
        <v>3300000</v>
      </c>
    </row>
    <row r="215" spans="1:10" ht="51">
      <c r="A215" s="282" t="s">
        <v>443</v>
      </c>
      <c r="B215" s="172" t="s">
        <v>0</v>
      </c>
      <c r="C215" s="253" t="s">
        <v>336</v>
      </c>
      <c r="D215" s="253" t="s">
        <v>313</v>
      </c>
      <c r="E215" s="254" t="s">
        <v>503</v>
      </c>
      <c r="F215" s="249"/>
      <c r="G215" s="249"/>
      <c r="H215" s="176">
        <f>H216</f>
        <v>718900</v>
      </c>
      <c r="I215" s="176">
        <f>I216</f>
        <v>718900</v>
      </c>
      <c r="J215" s="176">
        <f>J216</f>
        <v>718900</v>
      </c>
    </row>
    <row r="216" spans="1:10" ht="16.5">
      <c r="A216" s="282" t="s">
        <v>188</v>
      </c>
      <c r="B216" s="172" t="s">
        <v>0</v>
      </c>
      <c r="C216" s="253" t="s">
        <v>336</v>
      </c>
      <c r="D216" s="253" t="s">
        <v>313</v>
      </c>
      <c r="E216" s="254" t="s">
        <v>503</v>
      </c>
      <c r="F216" s="249" t="s">
        <v>249</v>
      </c>
      <c r="G216" s="249" t="s">
        <v>449</v>
      </c>
      <c r="H216" s="176">
        <v>718900</v>
      </c>
      <c r="I216" s="176">
        <v>718900</v>
      </c>
      <c r="J216" s="176">
        <v>718900</v>
      </c>
    </row>
    <row r="217" spans="1:10" ht="67.5">
      <c r="A217" s="291" t="s">
        <v>504</v>
      </c>
      <c r="B217" s="172" t="s">
        <v>0</v>
      </c>
      <c r="C217" s="253" t="s">
        <v>336</v>
      </c>
      <c r="D217" s="253" t="s">
        <v>313</v>
      </c>
      <c r="E217" s="254" t="s">
        <v>505</v>
      </c>
      <c r="F217" s="249"/>
      <c r="G217" s="249"/>
      <c r="H217" s="176">
        <f>H218</f>
        <v>752130</v>
      </c>
      <c r="I217" s="176">
        <f>I218</f>
        <v>768600</v>
      </c>
      <c r="J217" s="176">
        <f>J218</f>
        <v>768600</v>
      </c>
    </row>
    <row r="218" spans="1:10" ht="16.5">
      <c r="A218" s="282" t="s">
        <v>188</v>
      </c>
      <c r="B218" s="172" t="s">
        <v>0</v>
      </c>
      <c r="C218" s="253" t="s">
        <v>336</v>
      </c>
      <c r="D218" s="253" t="s">
        <v>313</v>
      </c>
      <c r="E218" s="254" t="s">
        <v>505</v>
      </c>
      <c r="F218" s="249" t="s">
        <v>249</v>
      </c>
      <c r="G218" s="249" t="s">
        <v>449</v>
      </c>
      <c r="H218" s="176">
        <f>768600-16470</f>
        <v>752130</v>
      </c>
      <c r="I218" s="176">
        <v>768600</v>
      </c>
      <c r="J218" s="176">
        <v>768600</v>
      </c>
    </row>
    <row r="219" spans="1:10" ht="51">
      <c r="A219" s="282" t="s">
        <v>506</v>
      </c>
      <c r="B219" s="172" t="s">
        <v>0</v>
      </c>
      <c r="C219" s="253" t="s">
        <v>336</v>
      </c>
      <c r="D219" s="253" t="s">
        <v>313</v>
      </c>
      <c r="E219" s="254" t="s">
        <v>507</v>
      </c>
      <c r="F219" s="249"/>
      <c r="G219" s="249"/>
      <c r="H219" s="176">
        <f>H220</f>
        <v>894870</v>
      </c>
      <c r="I219" s="176">
        <f>I220</f>
        <v>878400</v>
      </c>
      <c r="J219" s="176">
        <f>J220</f>
        <v>878400</v>
      </c>
    </row>
    <row r="220" spans="1:10" ht="16.5">
      <c r="A220" s="282" t="s">
        <v>188</v>
      </c>
      <c r="B220" s="172" t="s">
        <v>0</v>
      </c>
      <c r="C220" s="253" t="s">
        <v>336</v>
      </c>
      <c r="D220" s="253" t="s">
        <v>313</v>
      </c>
      <c r="E220" s="254" t="s">
        <v>507</v>
      </c>
      <c r="F220" s="249" t="s">
        <v>249</v>
      </c>
      <c r="G220" s="249" t="s">
        <v>449</v>
      </c>
      <c r="H220" s="176">
        <f>878400+16470</f>
        <v>894870</v>
      </c>
      <c r="I220" s="176">
        <v>878400</v>
      </c>
      <c r="J220" s="176">
        <v>878400</v>
      </c>
    </row>
    <row r="221" spans="1:10" ht="51" hidden="1">
      <c r="A221" s="282" t="s">
        <v>508</v>
      </c>
      <c r="B221" s="172" t="s">
        <v>0</v>
      </c>
      <c r="C221" s="253" t="s">
        <v>336</v>
      </c>
      <c r="D221" s="253" t="s">
        <v>313</v>
      </c>
      <c r="E221" s="254" t="s">
        <v>509</v>
      </c>
      <c r="F221" s="249"/>
      <c r="G221" s="249"/>
      <c r="H221" s="176">
        <f>H222</f>
        <v>0</v>
      </c>
      <c r="I221" s="176">
        <f>I222</f>
        <v>0</v>
      </c>
      <c r="J221" s="176">
        <f>J222</f>
        <v>0</v>
      </c>
    </row>
    <row r="222" spans="1:10" ht="33.75" hidden="1">
      <c r="A222" s="274" t="s">
        <v>264</v>
      </c>
      <c r="B222" s="172" t="s">
        <v>0</v>
      </c>
      <c r="C222" s="253" t="s">
        <v>336</v>
      </c>
      <c r="D222" s="253" t="s">
        <v>313</v>
      </c>
      <c r="E222" s="254" t="s">
        <v>509</v>
      </c>
      <c r="F222" s="249" t="s">
        <v>258</v>
      </c>
      <c r="G222" s="249" t="s">
        <v>449</v>
      </c>
      <c r="H222" s="176"/>
      <c r="I222" s="176"/>
      <c r="J222" s="176"/>
    </row>
    <row r="223" spans="1:10" ht="16.5">
      <c r="A223" s="298" t="s">
        <v>370</v>
      </c>
      <c r="B223" s="171" t="s">
        <v>0</v>
      </c>
      <c r="C223" s="250" t="s">
        <v>336</v>
      </c>
      <c r="D223" s="250" t="s">
        <v>317</v>
      </c>
      <c r="E223" s="250"/>
      <c r="F223" s="251"/>
      <c r="G223" s="251"/>
      <c r="H223" s="252">
        <f aca="true" t="shared" si="20" ref="H223:J224">H224</f>
        <v>6946279.3</v>
      </c>
      <c r="I223" s="252">
        <f t="shared" si="20"/>
        <v>6163814.74</v>
      </c>
      <c r="J223" s="252">
        <f t="shared" si="20"/>
        <v>6163814.74</v>
      </c>
    </row>
    <row r="224" spans="1:10" ht="16.5">
      <c r="A224" s="273" t="s">
        <v>302</v>
      </c>
      <c r="B224" s="171" t="s">
        <v>0</v>
      </c>
      <c r="C224" s="250" t="s">
        <v>336</v>
      </c>
      <c r="D224" s="250" t="s">
        <v>317</v>
      </c>
      <c r="E224" s="250" t="s">
        <v>303</v>
      </c>
      <c r="F224" s="251"/>
      <c r="G224" s="251"/>
      <c r="H224" s="252">
        <f t="shared" si="20"/>
        <v>6946279.3</v>
      </c>
      <c r="I224" s="252">
        <f t="shared" si="20"/>
        <v>6163814.74</v>
      </c>
      <c r="J224" s="252">
        <f t="shared" si="20"/>
        <v>6163814.74</v>
      </c>
    </row>
    <row r="225" spans="1:10" ht="16.5">
      <c r="A225" s="273" t="s">
        <v>322</v>
      </c>
      <c r="B225" s="171" t="s">
        <v>0</v>
      </c>
      <c r="C225" s="250" t="s">
        <v>336</v>
      </c>
      <c r="D225" s="250" t="s">
        <v>317</v>
      </c>
      <c r="E225" s="71" t="s">
        <v>323</v>
      </c>
      <c r="F225" s="251"/>
      <c r="G225" s="251"/>
      <c r="H225" s="252">
        <f>H226+H229+H232+H235</f>
        <v>6946279.3</v>
      </c>
      <c r="I225" s="252">
        <f>I226+I229+I232+I235</f>
        <v>6163814.74</v>
      </c>
      <c r="J225" s="252">
        <f>J226+J229+J232+J235</f>
        <v>6163814.74</v>
      </c>
    </row>
    <row r="226" spans="1:10" ht="51">
      <c r="A226" s="291" t="s">
        <v>510</v>
      </c>
      <c r="B226" s="172" t="s">
        <v>0</v>
      </c>
      <c r="C226" s="253" t="s">
        <v>336</v>
      </c>
      <c r="D226" s="253" t="s">
        <v>317</v>
      </c>
      <c r="E226" s="253" t="s">
        <v>511</v>
      </c>
      <c r="F226" s="249"/>
      <c r="G226" s="249"/>
      <c r="H226" s="176">
        <f>SUM(H227:H228)</f>
        <v>274682.43</v>
      </c>
      <c r="I226" s="176">
        <f>SUM(I227:I228)</f>
        <v>274682</v>
      </c>
      <c r="J226" s="176">
        <f>SUM(J227:J228)</f>
        <v>274682</v>
      </c>
    </row>
    <row r="227" spans="1:10" ht="67.5">
      <c r="A227" s="274" t="s">
        <v>186</v>
      </c>
      <c r="B227" s="172" t="s">
        <v>0</v>
      </c>
      <c r="C227" s="253" t="s">
        <v>336</v>
      </c>
      <c r="D227" s="253" t="s">
        <v>317</v>
      </c>
      <c r="E227" s="253" t="s">
        <v>511</v>
      </c>
      <c r="F227" s="249" t="s">
        <v>221</v>
      </c>
      <c r="G227" s="249" t="s">
        <v>449</v>
      </c>
      <c r="H227" s="176">
        <v>237923.2</v>
      </c>
      <c r="I227" s="176">
        <v>237923</v>
      </c>
      <c r="J227" s="176">
        <v>237923</v>
      </c>
    </row>
    <row r="228" spans="1:10" ht="33.75">
      <c r="A228" s="274" t="s">
        <v>187</v>
      </c>
      <c r="B228" s="172" t="s">
        <v>0</v>
      </c>
      <c r="C228" s="253" t="s">
        <v>336</v>
      </c>
      <c r="D228" s="253" t="s">
        <v>317</v>
      </c>
      <c r="E228" s="253" t="s">
        <v>511</v>
      </c>
      <c r="F228" s="249" t="s">
        <v>244</v>
      </c>
      <c r="G228" s="249" t="s">
        <v>449</v>
      </c>
      <c r="H228" s="176">
        <v>36759.23</v>
      </c>
      <c r="I228" s="176">
        <v>36759</v>
      </c>
      <c r="J228" s="176">
        <v>36759</v>
      </c>
    </row>
    <row r="229" spans="1:10" ht="33.75">
      <c r="A229" s="284" t="s">
        <v>444</v>
      </c>
      <c r="B229" s="172" t="s">
        <v>0</v>
      </c>
      <c r="C229" s="253" t="s">
        <v>336</v>
      </c>
      <c r="D229" s="253" t="s">
        <v>317</v>
      </c>
      <c r="E229" s="253" t="s">
        <v>512</v>
      </c>
      <c r="F229" s="249"/>
      <c r="G229" s="249"/>
      <c r="H229" s="176">
        <f>SUM(H230:H231)</f>
        <v>4462545.2</v>
      </c>
      <c r="I229" s="176">
        <f>SUM(I230:I231)</f>
        <v>3898575.82</v>
      </c>
      <c r="J229" s="176">
        <f>SUM(J230:J231)</f>
        <v>3898575.82</v>
      </c>
    </row>
    <row r="230" spans="1:10" ht="67.5">
      <c r="A230" s="274" t="s">
        <v>186</v>
      </c>
      <c r="B230" s="172" t="s">
        <v>0</v>
      </c>
      <c r="C230" s="253" t="s">
        <v>336</v>
      </c>
      <c r="D230" s="253" t="s">
        <v>317</v>
      </c>
      <c r="E230" s="253" t="s">
        <v>512</v>
      </c>
      <c r="F230" s="249" t="s">
        <v>221</v>
      </c>
      <c r="G230" s="249" t="s">
        <v>449</v>
      </c>
      <c r="H230" s="176">
        <v>4224863.82</v>
      </c>
      <c r="I230" s="18">
        <v>3790095.82</v>
      </c>
      <c r="J230" s="18">
        <v>3790095.82</v>
      </c>
    </row>
    <row r="231" spans="1:10" ht="33.75">
      <c r="A231" s="274" t="s">
        <v>187</v>
      </c>
      <c r="B231" s="172" t="s">
        <v>0</v>
      </c>
      <c r="C231" s="253" t="s">
        <v>336</v>
      </c>
      <c r="D231" s="253" t="s">
        <v>317</v>
      </c>
      <c r="E231" s="253" t="s">
        <v>512</v>
      </c>
      <c r="F231" s="249" t="s">
        <v>244</v>
      </c>
      <c r="G231" s="249" t="s">
        <v>449</v>
      </c>
      <c r="H231" s="176">
        <v>237681.38</v>
      </c>
      <c r="I231" s="18">
        <v>108480</v>
      </c>
      <c r="J231" s="18">
        <v>108480</v>
      </c>
    </row>
    <row r="232" spans="1:10" ht="33.75">
      <c r="A232" s="284" t="s">
        <v>513</v>
      </c>
      <c r="B232" s="172" t="s">
        <v>0</v>
      </c>
      <c r="C232" s="253" t="s">
        <v>336</v>
      </c>
      <c r="D232" s="253" t="s">
        <v>317</v>
      </c>
      <c r="E232" s="253" t="s">
        <v>514</v>
      </c>
      <c r="F232" s="249"/>
      <c r="G232" s="249"/>
      <c r="H232" s="176">
        <f>SUM(H233:H234)</f>
        <v>1080244.3800000001</v>
      </c>
      <c r="I232" s="176">
        <f>SUM(I233:I234)</f>
        <v>958087.92</v>
      </c>
      <c r="J232" s="176">
        <f>SUM(J233:J234)</f>
        <v>958087.92</v>
      </c>
    </row>
    <row r="233" spans="1:10" ht="67.5">
      <c r="A233" s="274" t="s">
        <v>186</v>
      </c>
      <c r="B233" s="172" t="s">
        <v>0</v>
      </c>
      <c r="C233" s="253" t="s">
        <v>336</v>
      </c>
      <c r="D233" s="253" t="s">
        <v>317</v>
      </c>
      <c r="E233" s="253" t="s">
        <v>514</v>
      </c>
      <c r="F233" s="249" t="s">
        <v>221</v>
      </c>
      <c r="G233" s="249" t="s">
        <v>449</v>
      </c>
      <c r="H233" s="176">
        <v>1029161.92</v>
      </c>
      <c r="I233" s="176">
        <v>934687.92</v>
      </c>
      <c r="J233" s="176">
        <v>934687.92</v>
      </c>
    </row>
    <row r="234" spans="1:17" s="269" customFormat="1" ht="33.75">
      <c r="A234" s="274" t="s">
        <v>187</v>
      </c>
      <c r="B234" s="172" t="s">
        <v>0</v>
      </c>
      <c r="C234" s="253" t="s">
        <v>336</v>
      </c>
      <c r="D234" s="253" t="s">
        <v>317</v>
      </c>
      <c r="E234" s="253" t="s">
        <v>514</v>
      </c>
      <c r="F234" s="249" t="s">
        <v>244</v>
      </c>
      <c r="G234" s="249" t="s">
        <v>449</v>
      </c>
      <c r="H234" s="176">
        <v>51082.46</v>
      </c>
      <c r="I234" s="176">
        <v>23400</v>
      </c>
      <c r="J234" s="176">
        <v>23400</v>
      </c>
      <c r="L234" s="270"/>
      <c r="M234" s="270"/>
      <c r="N234" s="270"/>
      <c r="O234" s="270"/>
      <c r="P234" s="270"/>
      <c r="Q234" s="270"/>
    </row>
    <row r="235" spans="1:10" ht="51">
      <c r="A235" s="284" t="s">
        <v>515</v>
      </c>
      <c r="B235" s="172" t="s">
        <v>0</v>
      </c>
      <c r="C235" s="253" t="s">
        <v>336</v>
      </c>
      <c r="D235" s="253" t="s">
        <v>317</v>
      </c>
      <c r="E235" s="253" t="s">
        <v>445</v>
      </c>
      <c r="F235" s="249"/>
      <c r="G235" s="249"/>
      <c r="H235" s="176">
        <f>SUM(H236:H237)</f>
        <v>1128807.29</v>
      </c>
      <c r="I235" s="176">
        <f>SUM(I236:I237)</f>
        <v>1032469</v>
      </c>
      <c r="J235" s="176">
        <f>SUM(J236:J237)</f>
        <v>1032469</v>
      </c>
    </row>
    <row r="236" spans="1:10" ht="67.5">
      <c r="A236" s="274" t="s">
        <v>186</v>
      </c>
      <c r="B236" s="172" t="s">
        <v>0</v>
      </c>
      <c r="C236" s="253" t="s">
        <v>336</v>
      </c>
      <c r="D236" s="253" t="s">
        <v>317</v>
      </c>
      <c r="E236" s="253" t="s">
        <v>445</v>
      </c>
      <c r="F236" s="249" t="s">
        <v>221</v>
      </c>
      <c r="G236" s="249" t="s">
        <v>449</v>
      </c>
      <c r="H236" s="176">
        <v>1076719</v>
      </c>
      <c r="I236" s="176">
        <v>980379</v>
      </c>
      <c r="J236" s="176">
        <v>980379</v>
      </c>
    </row>
    <row r="237" spans="1:10" ht="33.75">
      <c r="A237" s="274" t="s">
        <v>187</v>
      </c>
      <c r="B237" s="172" t="s">
        <v>0</v>
      </c>
      <c r="C237" s="253" t="s">
        <v>336</v>
      </c>
      <c r="D237" s="253" t="s">
        <v>317</v>
      </c>
      <c r="E237" s="253" t="s">
        <v>445</v>
      </c>
      <c r="F237" s="249" t="s">
        <v>244</v>
      </c>
      <c r="G237" s="249" t="s">
        <v>449</v>
      </c>
      <c r="H237" s="176">
        <v>52088.29</v>
      </c>
      <c r="I237" s="176">
        <v>52090</v>
      </c>
      <c r="J237" s="176">
        <v>52090</v>
      </c>
    </row>
    <row r="238" spans="1:10" ht="16.5">
      <c r="A238" s="273" t="s">
        <v>371</v>
      </c>
      <c r="B238" s="171" t="s">
        <v>0</v>
      </c>
      <c r="C238" s="250" t="s">
        <v>321</v>
      </c>
      <c r="D238" s="250"/>
      <c r="E238" s="250"/>
      <c r="F238" s="251"/>
      <c r="G238" s="251"/>
      <c r="H238" s="252">
        <f>H239</f>
        <v>3004500</v>
      </c>
      <c r="I238" s="252">
        <f>I239</f>
        <v>0</v>
      </c>
      <c r="J238" s="252">
        <f>J239</f>
        <v>0</v>
      </c>
    </row>
    <row r="239" spans="1:10" ht="16.5">
      <c r="A239" s="273" t="s">
        <v>372</v>
      </c>
      <c r="B239" s="171" t="s">
        <v>0</v>
      </c>
      <c r="C239" s="250" t="s">
        <v>321</v>
      </c>
      <c r="D239" s="250" t="s">
        <v>299</v>
      </c>
      <c r="E239" s="250"/>
      <c r="F239" s="251"/>
      <c r="G239" s="251"/>
      <c r="H239" s="252">
        <f>H244+H240</f>
        <v>3004500</v>
      </c>
      <c r="I239" s="252">
        <f>I244+I240</f>
        <v>0</v>
      </c>
      <c r="J239" s="252">
        <f>J244+J240</f>
        <v>0</v>
      </c>
    </row>
    <row r="240" spans="1:10" ht="16.5">
      <c r="A240" s="273" t="s">
        <v>267</v>
      </c>
      <c r="B240" s="171" t="s">
        <v>0</v>
      </c>
      <c r="C240" s="250" t="s">
        <v>321</v>
      </c>
      <c r="D240" s="250" t="s">
        <v>299</v>
      </c>
      <c r="E240" s="250" t="s">
        <v>268</v>
      </c>
      <c r="F240" s="251"/>
      <c r="G240" s="251"/>
      <c r="H240" s="252">
        <f aca="true" t="shared" si="21" ref="H240:J241">H241</f>
        <v>2504500</v>
      </c>
      <c r="I240" s="252">
        <f t="shared" si="21"/>
        <v>0</v>
      </c>
      <c r="J240" s="252">
        <f t="shared" si="21"/>
        <v>0</v>
      </c>
    </row>
    <row r="241" spans="1:10" ht="16.5">
      <c r="A241" s="273" t="s">
        <v>184</v>
      </c>
      <c r="B241" s="171" t="s">
        <v>0</v>
      </c>
      <c r="C241" s="250" t="s">
        <v>321</v>
      </c>
      <c r="D241" s="250" t="s">
        <v>299</v>
      </c>
      <c r="E241" s="250" t="s">
        <v>269</v>
      </c>
      <c r="F241" s="251"/>
      <c r="G241" s="251"/>
      <c r="H241" s="252">
        <f t="shared" si="21"/>
        <v>2504500</v>
      </c>
      <c r="I241" s="252">
        <f t="shared" si="21"/>
        <v>0</v>
      </c>
      <c r="J241" s="252">
        <f t="shared" si="21"/>
        <v>0</v>
      </c>
    </row>
    <row r="242" spans="1:10" ht="33.75">
      <c r="A242" s="274" t="s">
        <v>328</v>
      </c>
      <c r="B242" s="172" t="s">
        <v>0</v>
      </c>
      <c r="C242" s="253" t="s">
        <v>321</v>
      </c>
      <c r="D242" s="253" t="s">
        <v>299</v>
      </c>
      <c r="E242" s="253" t="s">
        <v>516</v>
      </c>
      <c r="F242" s="249"/>
      <c r="G242" s="249"/>
      <c r="H242" s="176">
        <f>H243</f>
        <v>2504500</v>
      </c>
      <c r="I242" s="176">
        <f>I1832</f>
        <v>0</v>
      </c>
      <c r="J242" s="176">
        <f>J1832</f>
        <v>0</v>
      </c>
    </row>
    <row r="243" spans="1:10" ht="67.5">
      <c r="A243" s="274" t="s">
        <v>186</v>
      </c>
      <c r="B243" s="172" t="s">
        <v>0</v>
      </c>
      <c r="C243" s="253" t="s">
        <v>321</v>
      </c>
      <c r="D243" s="253" t="s">
        <v>299</v>
      </c>
      <c r="E243" s="253" t="s">
        <v>516</v>
      </c>
      <c r="F243" s="249" t="s">
        <v>221</v>
      </c>
      <c r="G243" s="249" t="s">
        <v>449</v>
      </c>
      <c r="H243" s="176">
        <v>2504500</v>
      </c>
      <c r="I243" s="176">
        <v>0</v>
      </c>
      <c r="J243" s="176">
        <v>0</v>
      </c>
    </row>
    <row r="244" spans="1:10" ht="16.5">
      <c r="A244" s="294" t="s">
        <v>302</v>
      </c>
      <c r="B244" s="171" t="s">
        <v>0</v>
      </c>
      <c r="C244" s="250" t="s">
        <v>321</v>
      </c>
      <c r="D244" s="250" t="s">
        <v>299</v>
      </c>
      <c r="E244" s="71" t="s">
        <v>303</v>
      </c>
      <c r="F244" s="251"/>
      <c r="G244" s="251"/>
      <c r="H244" s="252">
        <f aca="true" t="shared" si="22" ref="H244:J246">H245</f>
        <v>500000</v>
      </c>
      <c r="I244" s="252">
        <f t="shared" si="22"/>
        <v>0</v>
      </c>
      <c r="J244" s="252">
        <f t="shared" si="22"/>
        <v>0</v>
      </c>
    </row>
    <row r="245" spans="1:17" s="269" customFormat="1" ht="16.5">
      <c r="A245" s="274" t="s">
        <v>322</v>
      </c>
      <c r="B245" s="172" t="s">
        <v>0</v>
      </c>
      <c r="C245" s="253" t="s">
        <v>321</v>
      </c>
      <c r="D245" s="253" t="s">
        <v>299</v>
      </c>
      <c r="E245" s="47" t="s">
        <v>323</v>
      </c>
      <c r="F245" s="251"/>
      <c r="G245" s="251"/>
      <c r="H245" s="176">
        <f t="shared" si="22"/>
        <v>500000</v>
      </c>
      <c r="I245" s="176">
        <f t="shared" si="22"/>
        <v>0</v>
      </c>
      <c r="J245" s="176">
        <f t="shared" si="22"/>
        <v>0</v>
      </c>
      <c r="L245" s="270"/>
      <c r="M245" s="270"/>
      <c r="N245" s="270"/>
      <c r="O245" s="270"/>
      <c r="P245" s="270"/>
      <c r="Q245" s="270"/>
    </row>
    <row r="246" spans="1:17" s="269" customFormat="1" ht="16.5">
      <c r="A246" s="299" t="s">
        <v>373</v>
      </c>
      <c r="B246" s="172" t="s">
        <v>0</v>
      </c>
      <c r="C246" s="253" t="s">
        <v>321</v>
      </c>
      <c r="D246" s="253" t="s">
        <v>299</v>
      </c>
      <c r="E246" s="260" t="s">
        <v>374</v>
      </c>
      <c r="F246" s="249"/>
      <c r="G246" s="249"/>
      <c r="H246" s="176">
        <f t="shared" si="22"/>
        <v>500000</v>
      </c>
      <c r="I246" s="176">
        <f t="shared" si="22"/>
        <v>0</v>
      </c>
      <c r="J246" s="176">
        <f t="shared" si="22"/>
        <v>0</v>
      </c>
      <c r="L246" s="270"/>
      <c r="M246" s="270"/>
      <c r="N246" s="270"/>
      <c r="O246" s="270"/>
      <c r="P246" s="270"/>
      <c r="Q246" s="270"/>
    </row>
    <row r="247" spans="1:10" ht="33.75">
      <c r="A247" s="274" t="s">
        <v>187</v>
      </c>
      <c r="B247" s="172" t="s">
        <v>0</v>
      </c>
      <c r="C247" s="253" t="s">
        <v>321</v>
      </c>
      <c r="D247" s="253" t="s">
        <v>299</v>
      </c>
      <c r="E247" s="260" t="s">
        <v>374</v>
      </c>
      <c r="F247" s="249" t="s">
        <v>244</v>
      </c>
      <c r="G247" s="249" t="s">
        <v>429</v>
      </c>
      <c r="H247" s="176">
        <v>500000</v>
      </c>
      <c r="I247" s="176">
        <v>0</v>
      </c>
      <c r="J247" s="18">
        <v>0</v>
      </c>
    </row>
    <row r="248" spans="1:10" ht="51">
      <c r="A248" s="278" t="s">
        <v>375</v>
      </c>
      <c r="B248" s="171" t="s">
        <v>0</v>
      </c>
      <c r="C248" s="250" t="s">
        <v>376</v>
      </c>
      <c r="D248" s="250"/>
      <c r="E248" s="250"/>
      <c r="F248" s="251"/>
      <c r="G248" s="253"/>
      <c r="H248" s="176">
        <f>H249+H254</f>
        <v>288284250</v>
      </c>
      <c r="I248" s="176">
        <f>I249+I254</f>
        <v>198888910</v>
      </c>
      <c r="J248" s="176">
        <f>J249+J254</f>
        <v>197667500</v>
      </c>
    </row>
    <row r="249" spans="1:10" ht="51">
      <c r="A249" s="283" t="s">
        <v>446</v>
      </c>
      <c r="B249" s="171" t="s">
        <v>0</v>
      </c>
      <c r="C249" s="250" t="s">
        <v>376</v>
      </c>
      <c r="D249" s="250" t="s">
        <v>299</v>
      </c>
      <c r="E249" s="250"/>
      <c r="F249" s="251"/>
      <c r="G249" s="253"/>
      <c r="H249" s="176">
        <f>H250</f>
        <v>276074110</v>
      </c>
      <c r="I249" s="176">
        <f aca="true" t="shared" si="23" ref="I249:J252">I250</f>
        <v>198888910</v>
      </c>
      <c r="J249" s="176">
        <f t="shared" si="23"/>
        <v>197667500</v>
      </c>
    </row>
    <row r="250" spans="1:10" ht="16.5">
      <c r="A250" s="273" t="s">
        <v>302</v>
      </c>
      <c r="B250" s="171" t="s">
        <v>0</v>
      </c>
      <c r="C250" s="250" t="s">
        <v>376</v>
      </c>
      <c r="D250" s="250" t="s">
        <v>299</v>
      </c>
      <c r="E250" s="250" t="s">
        <v>303</v>
      </c>
      <c r="F250" s="251"/>
      <c r="G250" s="253"/>
      <c r="H250" s="176">
        <f>H251</f>
        <v>276074110</v>
      </c>
      <c r="I250" s="176">
        <f t="shared" si="23"/>
        <v>198888910</v>
      </c>
      <c r="J250" s="176">
        <f t="shared" si="23"/>
        <v>197667500</v>
      </c>
    </row>
    <row r="251" spans="1:10" ht="16.5">
      <c r="A251" s="274" t="s">
        <v>378</v>
      </c>
      <c r="B251" s="172" t="s">
        <v>0</v>
      </c>
      <c r="C251" s="253" t="s">
        <v>376</v>
      </c>
      <c r="D251" s="253" t="s">
        <v>299</v>
      </c>
      <c r="E251" s="253" t="s">
        <v>379</v>
      </c>
      <c r="F251" s="249"/>
      <c r="G251" s="253"/>
      <c r="H251" s="176">
        <f>H252</f>
        <v>276074110</v>
      </c>
      <c r="I251" s="176">
        <f t="shared" si="23"/>
        <v>198888910</v>
      </c>
      <c r="J251" s="176">
        <f t="shared" si="23"/>
        <v>197667500</v>
      </c>
    </row>
    <row r="252" spans="1:10" ht="33.75">
      <c r="A252" s="291" t="s">
        <v>447</v>
      </c>
      <c r="B252" s="172" t="s">
        <v>0</v>
      </c>
      <c r="C252" s="253" t="s">
        <v>376</v>
      </c>
      <c r="D252" s="253" t="s">
        <v>299</v>
      </c>
      <c r="E252" s="253" t="s">
        <v>448</v>
      </c>
      <c r="F252" s="249"/>
      <c r="G252" s="253"/>
      <c r="H252" s="176">
        <f>H253</f>
        <v>276074110</v>
      </c>
      <c r="I252" s="176">
        <f t="shared" si="23"/>
        <v>198888910</v>
      </c>
      <c r="J252" s="176">
        <f t="shared" si="23"/>
        <v>197667500</v>
      </c>
    </row>
    <row r="253" spans="1:10" ht="16.5">
      <c r="A253" s="282" t="s">
        <v>378</v>
      </c>
      <c r="B253" s="172" t="s">
        <v>0</v>
      </c>
      <c r="C253" s="253" t="s">
        <v>376</v>
      </c>
      <c r="D253" s="253" t="s">
        <v>299</v>
      </c>
      <c r="E253" s="253" t="s">
        <v>448</v>
      </c>
      <c r="F253" s="249" t="s">
        <v>382</v>
      </c>
      <c r="G253" s="253" t="s">
        <v>449</v>
      </c>
      <c r="H253" s="176">
        <v>276074110</v>
      </c>
      <c r="I253" s="176">
        <v>198888910</v>
      </c>
      <c r="J253" s="18">
        <v>197667500</v>
      </c>
    </row>
    <row r="254" spans="1:10" ht="16.5">
      <c r="A254" s="283" t="s">
        <v>652</v>
      </c>
      <c r="B254" s="171" t="s">
        <v>0</v>
      </c>
      <c r="C254" s="250" t="s">
        <v>376</v>
      </c>
      <c r="D254" s="250" t="s">
        <v>301</v>
      </c>
      <c r="E254" s="250"/>
      <c r="F254" s="250"/>
      <c r="G254" s="250"/>
      <c r="H254" s="176">
        <f>H255</f>
        <v>12210140</v>
      </c>
      <c r="I254" s="176">
        <f aca="true" t="shared" si="24" ref="I254:J257">I255</f>
        <v>0</v>
      </c>
      <c r="J254" s="176">
        <f t="shared" si="24"/>
        <v>0</v>
      </c>
    </row>
    <row r="255" spans="1:10" ht="16.5">
      <c r="A255" s="273" t="s">
        <v>302</v>
      </c>
      <c r="B255" s="171" t="s">
        <v>0</v>
      </c>
      <c r="C255" s="250" t="s">
        <v>376</v>
      </c>
      <c r="D255" s="250" t="s">
        <v>301</v>
      </c>
      <c r="E255" s="250" t="s">
        <v>303</v>
      </c>
      <c r="F255" s="250"/>
      <c r="G255" s="250"/>
      <c r="H255" s="176">
        <f>H256</f>
        <v>12210140</v>
      </c>
      <c r="I255" s="176">
        <f t="shared" si="24"/>
        <v>0</v>
      </c>
      <c r="J255" s="176">
        <f t="shared" si="24"/>
        <v>0</v>
      </c>
    </row>
    <row r="256" spans="1:10" ht="16.5">
      <c r="A256" s="273" t="s">
        <v>378</v>
      </c>
      <c r="B256" s="171" t="s">
        <v>0</v>
      </c>
      <c r="C256" s="250" t="s">
        <v>376</v>
      </c>
      <c r="D256" s="250" t="s">
        <v>301</v>
      </c>
      <c r="E256" s="250" t="s">
        <v>379</v>
      </c>
      <c r="F256" s="250"/>
      <c r="G256" s="250"/>
      <c r="H256" s="176">
        <f>H257</f>
        <v>12210140</v>
      </c>
      <c r="I256" s="176">
        <f t="shared" si="24"/>
        <v>0</v>
      </c>
      <c r="J256" s="176">
        <f t="shared" si="24"/>
        <v>0</v>
      </c>
    </row>
    <row r="257" spans="1:10" ht="33.75">
      <c r="A257" s="282" t="s">
        <v>653</v>
      </c>
      <c r="B257" s="172" t="s">
        <v>0</v>
      </c>
      <c r="C257" s="253" t="s">
        <v>376</v>
      </c>
      <c r="D257" s="253" t="s">
        <v>301</v>
      </c>
      <c r="E257" s="253" t="s">
        <v>654</v>
      </c>
      <c r="F257" s="253"/>
      <c r="G257" s="253"/>
      <c r="H257" s="176">
        <f>H258</f>
        <v>12210140</v>
      </c>
      <c r="I257" s="176">
        <f t="shared" si="24"/>
        <v>0</v>
      </c>
      <c r="J257" s="176">
        <f t="shared" si="24"/>
        <v>0</v>
      </c>
    </row>
    <row r="258" spans="1:10" ht="16.5">
      <c r="A258" s="282" t="s">
        <v>378</v>
      </c>
      <c r="B258" s="172" t="s">
        <v>0</v>
      </c>
      <c r="C258" s="253" t="s">
        <v>376</v>
      </c>
      <c r="D258" s="253" t="s">
        <v>301</v>
      </c>
      <c r="E258" s="253" t="s">
        <v>654</v>
      </c>
      <c r="F258" s="253" t="s">
        <v>382</v>
      </c>
      <c r="G258" s="253" t="s">
        <v>449</v>
      </c>
      <c r="H258" s="176">
        <f>1521000+5029940+277500+5381700</f>
        <v>12210140</v>
      </c>
      <c r="I258" s="176">
        <v>0</v>
      </c>
      <c r="J258" s="176">
        <v>0</v>
      </c>
    </row>
    <row r="259" spans="1:10" ht="15.75">
      <c r="A259" s="300"/>
      <c r="B259" s="178"/>
      <c r="C259" s="261"/>
      <c r="D259" s="261"/>
      <c r="E259" s="262"/>
      <c r="F259" s="261"/>
      <c r="G259" s="261"/>
      <c r="H259" s="263"/>
      <c r="I259" s="263"/>
      <c r="J259" s="267"/>
    </row>
    <row r="260" spans="1:10" ht="15.75">
      <c r="A260" s="300"/>
      <c r="B260" s="178"/>
      <c r="C260" s="261"/>
      <c r="D260" s="261"/>
      <c r="E260" s="262"/>
      <c r="F260" s="261"/>
      <c r="G260" s="261"/>
      <c r="H260" s="263"/>
      <c r="I260" s="263"/>
      <c r="J260" s="267"/>
    </row>
    <row r="261" spans="1:10" ht="15.75">
      <c r="A261" s="300"/>
      <c r="B261" s="178"/>
      <c r="C261" s="261"/>
      <c r="D261" s="261"/>
      <c r="E261" s="262"/>
      <c r="F261" s="261"/>
      <c r="G261" s="261"/>
      <c r="H261" s="263"/>
      <c r="I261" s="263"/>
      <c r="J261" s="267"/>
    </row>
    <row r="263" ht="15.75">
      <c r="A263" s="264" t="s">
        <v>450</v>
      </c>
    </row>
  </sheetData>
  <sheetProtection/>
  <mergeCells count="5">
    <mergeCell ref="A10:J10"/>
    <mergeCell ref="I3:J3"/>
    <mergeCell ref="I4:J4"/>
    <mergeCell ref="I5:J5"/>
    <mergeCell ref="I7:J7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1"/>
  <sheetViews>
    <sheetView zoomScalePageLayoutView="0" workbookViewId="0" topLeftCell="A1">
      <selection activeCell="D2" sqref="D2:D7"/>
    </sheetView>
  </sheetViews>
  <sheetFormatPr defaultColWidth="8.8515625" defaultRowHeight="15"/>
  <cols>
    <col min="1" max="1" width="10.421875" style="20" customWidth="1"/>
    <col min="2" max="2" width="67.00390625" style="20" customWidth="1"/>
    <col min="3" max="3" width="20.140625" style="182" customWidth="1"/>
    <col min="4" max="4" width="17.421875" style="182" customWidth="1"/>
    <col min="5" max="5" width="21.7109375" style="182" customWidth="1"/>
    <col min="6" max="6" width="16.7109375" style="359" customWidth="1"/>
    <col min="7" max="7" width="12.7109375" style="359" customWidth="1"/>
    <col min="8" max="9" width="14.140625" style="359" customWidth="1"/>
    <col min="10" max="10" width="14.28125" style="359" customWidth="1"/>
    <col min="11" max="11" width="9.140625" style="359" customWidth="1"/>
    <col min="12" max="12" width="10.8515625" style="359" customWidth="1"/>
    <col min="13" max="30" width="9.140625" style="359" customWidth="1"/>
  </cols>
  <sheetData>
    <row r="2" spans="2:4" ht="18">
      <c r="B2" s="22"/>
      <c r="D2" s="373" t="s">
        <v>385</v>
      </c>
    </row>
    <row r="3" spans="2:5" ht="18">
      <c r="B3" s="22"/>
      <c r="D3" s="371" t="s">
        <v>772</v>
      </c>
      <c r="E3" s="371"/>
    </row>
    <row r="4" spans="2:5" ht="18">
      <c r="B4" s="22"/>
      <c r="D4" s="371" t="s">
        <v>17</v>
      </c>
      <c r="E4" s="371"/>
    </row>
    <row r="5" spans="2:5" ht="18">
      <c r="B5" s="22"/>
      <c r="D5" s="371" t="s">
        <v>18</v>
      </c>
      <c r="E5" s="371"/>
    </row>
    <row r="6" spans="2:5" ht="18">
      <c r="B6" s="22"/>
      <c r="D6" s="371" t="s">
        <v>773</v>
      </c>
      <c r="E6" s="371"/>
    </row>
    <row r="7" spans="2:5" ht="18">
      <c r="B7" s="22"/>
      <c r="D7" s="371" t="s">
        <v>774</v>
      </c>
      <c r="E7" s="371"/>
    </row>
    <row r="8" ht="18">
      <c r="C8" s="181"/>
    </row>
    <row r="10" spans="1:5" ht="46.5" customHeight="1">
      <c r="A10" s="383" t="s">
        <v>566</v>
      </c>
      <c r="B10" s="383"/>
      <c r="C10" s="383"/>
      <c r="D10" s="383"/>
      <c r="E10" s="383"/>
    </row>
    <row r="11" ht="15">
      <c r="E11" s="183" t="s">
        <v>517</v>
      </c>
    </row>
    <row r="12" spans="1:5" ht="33.75">
      <c r="A12" s="24" t="s">
        <v>518</v>
      </c>
      <c r="B12" s="24" t="s">
        <v>519</v>
      </c>
      <c r="C12" s="184" t="s">
        <v>21</v>
      </c>
      <c r="D12" s="184" t="s">
        <v>22</v>
      </c>
      <c r="E12" s="184" t="s">
        <v>166</v>
      </c>
    </row>
    <row r="13" spans="1:5" ht="33.75">
      <c r="A13" s="185">
        <v>1</v>
      </c>
      <c r="B13" s="186" t="s">
        <v>520</v>
      </c>
      <c r="C13" s="14">
        <v>276074110</v>
      </c>
      <c r="D13" s="14">
        <v>198888910</v>
      </c>
      <c r="E13" s="18">
        <v>197667500</v>
      </c>
    </row>
    <row r="14" spans="1:5" ht="16.5">
      <c r="A14" s="188" t="s">
        <v>521</v>
      </c>
      <c r="B14" s="189" t="s">
        <v>522</v>
      </c>
      <c r="C14" s="190">
        <v>31818590</v>
      </c>
      <c r="D14" s="191"/>
      <c r="E14" s="191"/>
    </row>
    <row r="15" spans="1:5" ht="16.5">
      <c r="A15" s="188" t="s">
        <v>523</v>
      </c>
      <c r="B15" s="189" t="s">
        <v>524</v>
      </c>
      <c r="C15" s="190">
        <v>34024660</v>
      </c>
      <c r="D15" s="191"/>
      <c r="E15" s="191"/>
    </row>
    <row r="16" spans="1:5" ht="16.5">
      <c r="A16" s="188" t="s">
        <v>525</v>
      </c>
      <c r="B16" s="189" t="s">
        <v>526</v>
      </c>
      <c r="C16" s="190">
        <v>31628630</v>
      </c>
      <c r="D16" s="191"/>
      <c r="E16" s="191"/>
    </row>
    <row r="17" spans="1:5" ht="16.5">
      <c r="A17" s="188" t="s">
        <v>527</v>
      </c>
      <c r="B17" s="189" t="s">
        <v>528</v>
      </c>
      <c r="C17" s="190">
        <v>22330950</v>
      </c>
      <c r="D17" s="191"/>
      <c r="E17" s="191"/>
    </row>
    <row r="18" spans="1:5" ht="16.5">
      <c r="A18" s="188" t="s">
        <v>529</v>
      </c>
      <c r="B18" s="189" t="s">
        <v>530</v>
      </c>
      <c r="C18" s="190">
        <v>23014420</v>
      </c>
      <c r="D18" s="191"/>
      <c r="E18" s="191"/>
    </row>
    <row r="19" spans="1:5" ht="16.5">
      <c r="A19" s="188" t="s">
        <v>531</v>
      </c>
      <c r="B19" s="189" t="s">
        <v>532</v>
      </c>
      <c r="C19" s="190">
        <v>17777140</v>
      </c>
      <c r="D19" s="191"/>
      <c r="E19" s="191"/>
    </row>
    <row r="20" spans="1:5" ht="16.5">
      <c r="A20" s="188" t="s">
        <v>533</v>
      </c>
      <c r="B20" s="189" t="s">
        <v>534</v>
      </c>
      <c r="C20" s="190">
        <v>34086850</v>
      </c>
      <c r="D20" s="191"/>
      <c r="E20" s="191"/>
    </row>
    <row r="21" spans="1:5" ht="16.5">
      <c r="A21" s="188" t="s">
        <v>535</v>
      </c>
      <c r="B21" s="189" t="s">
        <v>536</v>
      </c>
      <c r="C21" s="190">
        <v>25175320</v>
      </c>
      <c r="D21" s="191"/>
      <c r="E21" s="191"/>
    </row>
    <row r="22" spans="1:5" ht="16.5">
      <c r="A22" s="188" t="s">
        <v>537</v>
      </c>
      <c r="B22" s="189" t="s">
        <v>538</v>
      </c>
      <c r="C22" s="190">
        <v>24834480</v>
      </c>
      <c r="D22" s="191"/>
      <c r="E22" s="191"/>
    </row>
    <row r="23" spans="1:5" ht="16.5">
      <c r="A23" s="188" t="s">
        <v>539</v>
      </c>
      <c r="B23" s="189" t="s">
        <v>540</v>
      </c>
      <c r="C23" s="190">
        <v>15493590</v>
      </c>
      <c r="D23" s="191"/>
      <c r="E23" s="191"/>
    </row>
    <row r="24" spans="1:5" ht="16.5">
      <c r="A24" s="188" t="s">
        <v>541</v>
      </c>
      <c r="B24" s="189" t="s">
        <v>542</v>
      </c>
      <c r="C24" s="190">
        <v>15889480</v>
      </c>
      <c r="D24" s="191"/>
      <c r="E24" s="191"/>
    </row>
    <row r="25" spans="1:5" ht="33.75">
      <c r="A25" s="188" t="s">
        <v>661</v>
      </c>
      <c r="B25" s="237" t="s">
        <v>660</v>
      </c>
      <c r="C25" s="190">
        <f>SUM(C26:C36)</f>
        <v>12210140</v>
      </c>
      <c r="D25" s="190">
        <f>SUM(D26:D35)</f>
        <v>0</v>
      </c>
      <c r="E25" s="190">
        <f>SUM(E26:E35)</f>
        <v>0</v>
      </c>
    </row>
    <row r="26" spans="1:5" ht="16.5">
      <c r="A26" s="238" t="s">
        <v>543</v>
      </c>
      <c r="B26" s="189" t="s">
        <v>522</v>
      </c>
      <c r="C26" s="190">
        <f>1221220.49+1461200</f>
        <v>2682420.49</v>
      </c>
      <c r="D26" s="191"/>
      <c r="E26" s="191"/>
    </row>
    <row r="27" spans="1:5" ht="16.5">
      <c r="A27" s="238" t="s">
        <v>544</v>
      </c>
      <c r="B27" s="239" t="s">
        <v>524</v>
      </c>
      <c r="C27" s="190">
        <f>222640+573293.31+517200</f>
        <v>1313133.31</v>
      </c>
      <c r="D27" s="191"/>
      <c r="E27" s="191"/>
    </row>
    <row r="28" spans="1:5" ht="16.5">
      <c r="A28" s="238" t="s">
        <v>545</v>
      </c>
      <c r="B28" s="239" t="s">
        <v>526</v>
      </c>
      <c r="C28" s="190">
        <f>229190+467666.2+682900</f>
        <v>1379756.2</v>
      </c>
      <c r="D28" s="191"/>
      <c r="E28" s="191"/>
    </row>
    <row r="29" spans="1:5" ht="16.5">
      <c r="A29" s="238" t="s">
        <v>546</v>
      </c>
      <c r="B29" s="239" t="s">
        <v>528</v>
      </c>
      <c r="C29" s="190">
        <f>151896+373110+351900</f>
        <v>876906</v>
      </c>
      <c r="D29" s="191"/>
      <c r="E29" s="191"/>
    </row>
    <row r="30" spans="1:5" ht="16.5">
      <c r="A30" s="238" t="s">
        <v>547</v>
      </c>
      <c r="B30" s="239" t="s">
        <v>530</v>
      </c>
      <c r="C30" s="190">
        <f>126921+253780+327200</f>
        <v>707901</v>
      </c>
      <c r="D30" s="191"/>
      <c r="E30" s="191"/>
    </row>
    <row r="31" spans="1:5" ht="16.5">
      <c r="A31" s="238" t="s">
        <v>548</v>
      </c>
      <c r="B31" s="239" t="s">
        <v>532</v>
      </c>
      <c r="C31" s="190">
        <f>126921+304320+76840+220500</f>
        <v>728581</v>
      </c>
      <c r="D31" s="191"/>
      <c r="E31" s="191"/>
    </row>
    <row r="32" spans="1:5" ht="16.5">
      <c r="A32" s="238" t="s">
        <v>549</v>
      </c>
      <c r="B32" s="239" t="s">
        <v>534</v>
      </c>
      <c r="C32" s="190">
        <f>178626+568230+81260+604700</f>
        <v>1432816</v>
      </c>
      <c r="D32" s="191"/>
      <c r="E32" s="191"/>
    </row>
    <row r="33" spans="1:5" ht="16.5">
      <c r="A33" s="238" t="s">
        <v>550</v>
      </c>
      <c r="B33" s="239" t="s">
        <v>536</v>
      </c>
      <c r="C33" s="190">
        <f>151896+396300+444700</f>
        <v>992896</v>
      </c>
      <c r="D33" s="191"/>
      <c r="E33" s="191"/>
    </row>
    <row r="34" spans="1:5" ht="16.5">
      <c r="A34" s="238" t="s">
        <v>551</v>
      </c>
      <c r="B34" s="239" t="s">
        <v>538</v>
      </c>
      <c r="C34" s="190">
        <f>126921+388230+476500</f>
        <v>991651</v>
      </c>
      <c r="D34" s="191"/>
      <c r="E34" s="191"/>
    </row>
    <row r="35" spans="1:5" ht="16.5">
      <c r="A35" s="238" t="s">
        <v>552</v>
      </c>
      <c r="B35" s="239" t="s">
        <v>540</v>
      </c>
      <c r="C35" s="190">
        <f>104041+329470+90740+152200</f>
        <v>676451</v>
      </c>
      <c r="D35" s="191"/>
      <c r="E35" s="191"/>
    </row>
    <row r="36" spans="1:5" ht="16.5">
      <c r="A36" s="188" t="s">
        <v>745</v>
      </c>
      <c r="B36" s="239" t="s">
        <v>542</v>
      </c>
      <c r="C36" s="190">
        <f>101948+154320+28660+142700</f>
        <v>427628</v>
      </c>
      <c r="D36" s="191"/>
      <c r="E36" s="191"/>
    </row>
    <row r="37" spans="1:5" ht="67.5">
      <c r="A37" s="192" t="s">
        <v>662</v>
      </c>
      <c r="B37" s="186" t="s">
        <v>557</v>
      </c>
      <c r="C37" s="193">
        <f>SUM(C38:C43)</f>
        <v>2079072.22</v>
      </c>
      <c r="D37" s="193">
        <f>SUM(D38:D43)</f>
        <v>0</v>
      </c>
      <c r="E37" s="193">
        <f>SUM(E38:E43)</f>
        <v>0</v>
      </c>
    </row>
    <row r="38" spans="1:5" ht="16.5">
      <c r="A38" s="188" t="s">
        <v>553</v>
      </c>
      <c r="B38" s="189" t="s">
        <v>522</v>
      </c>
      <c r="C38" s="190">
        <v>2079072.22</v>
      </c>
      <c r="D38" s="190"/>
      <c r="E38" s="190"/>
    </row>
    <row r="39" spans="1:5" ht="16.5" hidden="1">
      <c r="A39" s="188" t="s">
        <v>558</v>
      </c>
      <c r="B39" s="189" t="s">
        <v>524</v>
      </c>
      <c r="C39" s="190"/>
      <c r="D39" s="194"/>
      <c r="E39" s="194"/>
    </row>
    <row r="40" spans="1:5" ht="16.5" hidden="1">
      <c r="A40" s="188" t="s">
        <v>559</v>
      </c>
      <c r="B40" s="189" t="s">
        <v>526</v>
      </c>
      <c r="C40" s="190"/>
      <c r="D40" s="194"/>
      <c r="E40" s="194"/>
    </row>
    <row r="41" spans="1:5" ht="16.5" hidden="1">
      <c r="A41" s="188" t="s">
        <v>560</v>
      </c>
      <c r="B41" s="189" t="s">
        <v>528</v>
      </c>
      <c r="C41" s="190"/>
      <c r="D41" s="194"/>
      <c r="E41" s="194"/>
    </row>
    <row r="42" spans="1:5" ht="16.5" hidden="1">
      <c r="A42" s="188" t="s">
        <v>561</v>
      </c>
      <c r="B42" s="189" t="s">
        <v>530</v>
      </c>
      <c r="C42" s="190"/>
      <c r="D42" s="194"/>
      <c r="E42" s="194"/>
    </row>
    <row r="43" spans="1:5" ht="16.5" hidden="1">
      <c r="A43" s="188" t="s">
        <v>562</v>
      </c>
      <c r="B43" s="189" t="s">
        <v>540</v>
      </c>
      <c r="C43" s="190"/>
      <c r="D43" s="194"/>
      <c r="E43" s="194"/>
    </row>
    <row r="44" spans="1:5" ht="51">
      <c r="A44" s="185" t="s">
        <v>556</v>
      </c>
      <c r="B44" s="186" t="s">
        <v>564</v>
      </c>
      <c r="C44" s="187">
        <f>C45+C47</f>
        <v>459723740.98</v>
      </c>
      <c r="D44" s="187">
        <f>D45+D47</f>
        <v>0</v>
      </c>
      <c r="E44" s="187">
        <f>E45+E47</f>
        <v>0</v>
      </c>
    </row>
    <row r="45" spans="1:30" s="21" customFormat="1" ht="33.75">
      <c r="A45" s="195" t="s">
        <v>554</v>
      </c>
      <c r="B45" s="189" t="s">
        <v>380</v>
      </c>
      <c r="C45" s="191">
        <f>C46</f>
        <v>226058000</v>
      </c>
      <c r="D45" s="191">
        <f>D46</f>
        <v>0</v>
      </c>
      <c r="E45" s="191">
        <f>E46</f>
        <v>0</v>
      </c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</row>
    <row r="46" spans="1:5" ht="16.5">
      <c r="A46" s="188" t="s">
        <v>663</v>
      </c>
      <c r="B46" s="189" t="s">
        <v>565</v>
      </c>
      <c r="C46" s="191">
        <f>'Приложение 3'!F222</f>
        <v>226058000</v>
      </c>
      <c r="D46" s="191">
        <f>'[2]Приложение 4'!G213</f>
        <v>0</v>
      </c>
      <c r="E46" s="191">
        <f>'[2]Приложение 4'!H213</f>
        <v>0</v>
      </c>
    </row>
    <row r="47" spans="1:5" ht="16.5">
      <c r="A47" s="195" t="s">
        <v>555</v>
      </c>
      <c r="B47" s="189" t="s">
        <v>383</v>
      </c>
      <c r="C47" s="191">
        <f>SUM(C49:C59)</f>
        <v>233665740.98</v>
      </c>
      <c r="D47" s="191">
        <f>SUM(D49:D58)</f>
        <v>0</v>
      </c>
      <c r="E47" s="191">
        <f>SUM(E49:E58)</f>
        <v>0</v>
      </c>
    </row>
    <row r="48" spans="1:5" ht="15.75" hidden="1">
      <c r="A48" s="195"/>
      <c r="B48" s="196"/>
      <c r="C48" s="191"/>
      <c r="D48" s="191"/>
      <c r="E48" s="191"/>
    </row>
    <row r="49" spans="1:10" ht="16.5">
      <c r="A49" s="188" t="s">
        <v>664</v>
      </c>
      <c r="B49" s="197" t="s">
        <v>522</v>
      </c>
      <c r="C49" s="191">
        <f>91062871.73+1582150.35+8642390.77+3481059.96+12413400+5098035.97+32894436.44</f>
        <v>155174345.22</v>
      </c>
      <c r="D49" s="191"/>
      <c r="E49" s="191"/>
      <c r="I49" s="302"/>
      <c r="J49" s="302"/>
    </row>
    <row r="50" spans="1:5" ht="16.5">
      <c r="A50" s="188" t="s">
        <v>665</v>
      </c>
      <c r="B50" s="196" t="s">
        <v>524</v>
      </c>
      <c r="C50" s="191">
        <f>3000000+22152788</f>
        <v>25152788</v>
      </c>
      <c r="D50" s="191"/>
      <c r="E50" s="191"/>
    </row>
    <row r="51" spans="1:5" ht="16.5">
      <c r="A51" s="188" t="s">
        <v>666</v>
      </c>
      <c r="B51" s="196" t="s">
        <v>526</v>
      </c>
      <c r="C51" s="191">
        <v>3000000</v>
      </c>
      <c r="D51" s="191"/>
      <c r="E51" s="191"/>
    </row>
    <row r="52" spans="1:8" ht="16.5">
      <c r="A52" s="188" t="s">
        <v>667</v>
      </c>
      <c r="B52" s="189" t="s">
        <v>528</v>
      </c>
      <c r="C52" s="191">
        <f>1000000+3006565.6</f>
        <v>4006565.6</v>
      </c>
      <c r="D52" s="191"/>
      <c r="E52" s="191"/>
      <c r="H52" s="361"/>
    </row>
    <row r="53" spans="1:5" ht="16.5">
      <c r="A53" s="188" t="s">
        <v>668</v>
      </c>
      <c r="B53" s="189" t="s">
        <v>530</v>
      </c>
      <c r="C53" s="191">
        <f>1000000+791472.75+1003824.4</f>
        <v>2795297.15</v>
      </c>
      <c r="D53" s="191"/>
      <c r="E53" s="191"/>
    </row>
    <row r="54" spans="1:5" ht="16.5">
      <c r="A54" s="188" t="s">
        <v>669</v>
      </c>
      <c r="B54" s="189" t="s">
        <v>532</v>
      </c>
      <c r="C54" s="191">
        <f>1000000+5864405.34</f>
        <v>6864405.34</v>
      </c>
      <c r="D54" s="191"/>
      <c r="E54" s="191"/>
    </row>
    <row r="55" spans="1:5" ht="16.5">
      <c r="A55" s="188" t="s">
        <v>670</v>
      </c>
      <c r="B55" s="189" t="s">
        <v>534</v>
      </c>
      <c r="C55" s="191">
        <f>1000000+3688180.27+4760823.2</f>
        <v>9449003.469999999</v>
      </c>
      <c r="D55" s="191"/>
      <c r="E55" s="191"/>
    </row>
    <row r="56" spans="1:5" ht="16.5">
      <c r="A56" s="188" t="s">
        <v>671</v>
      </c>
      <c r="B56" s="189" t="s">
        <v>536</v>
      </c>
      <c r="C56" s="191">
        <f>1000000+6066051.6</f>
        <v>7066051.6</v>
      </c>
      <c r="D56" s="191"/>
      <c r="E56" s="191"/>
    </row>
    <row r="57" spans="1:5" ht="16.5">
      <c r="A57" s="188" t="s">
        <v>672</v>
      </c>
      <c r="B57" s="189" t="s">
        <v>538</v>
      </c>
      <c r="C57" s="191">
        <f>1000000+5086524</f>
        <v>6086524</v>
      </c>
      <c r="D57" s="191"/>
      <c r="E57" s="191"/>
    </row>
    <row r="58" spans="1:5" ht="16.5">
      <c r="A58" s="188" t="s">
        <v>673</v>
      </c>
      <c r="B58" s="189" t="s">
        <v>540</v>
      </c>
      <c r="C58" s="191">
        <f>1000000+5621216.4</f>
        <v>6621216.4</v>
      </c>
      <c r="D58" s="191"/>
      <c r="E58" s="191"/>
    </row>
    <row r="59" spans="1:5" ht="16.5">
      <c r="A59" s="188" t="s">
        <v>674</v>
      </c>
      <c r="B59" s="189" t="s">
        <v>542</v>
      </c>
      <c r="C59" s="191">
        <f>1000000+6449544.2</f>
        <v>7449544.2</v>
      </c>
      <c r="D59" s="191"/>
      <c r="E59" s="191"/>
    </row>
    <row r="60" spans="1:30" s="200" customFormat="1" ht="15.75">
      <c r="A60" s="198"/>
      <c r="B60" s="198" t="s">
        <v>181</v>
      </c>
      <c r="C60" s="199">
        <f>C13+C25+C37+C44</f>
        <v>750087063.2</v>
      </c>
      <c r="D60" s="199">
        <f>D13+D25+D37+D44</f>
        <v>198888910</v>
      </c>
      <c r="E60" s="199">
        <f>E13+E25+E37+E44</f>
        <v>197667500</v>
      </c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</row>
    <row r="61" spans="2:5" ht="15.75">
      <c r="B61" s="197"/>
      <c r="C61" s="201"/>
      <c r="D61" s="201"/>
      <c r="E61" s="201"/>
    </row>
  </sheetData>
  <sheetProtection/>
  <mergeCells count="1">
    <mergeCell ref="A10:E1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zoomScalePageLayoutView="0" workbookViewId="0" topLeftCell="A1">
      <selection activeCell="D3" sqref="D3:D8"/>
    </sheetView>
  </sheetViews>
  <sheetFormatPr defaultColWidth="8.8515625" defaultRowHeight="15"/>
  <cols>
    <col min="1" max="1" width="7.421875" style="20" customWidth="1"/>
    <col min="2" max="2" width="79.421875" style="20" customWidth="1"/>
    <col min="3" max="3" width="19.7109375" style="182" customWidth="1"/>
    <col min="4" max="4" width="23.7109375" style="182" customWidth="1"/>
    <col min="5" max="5" width="19.421875" style="182" customWidth="1"/>
  </cols>
  <sheetData>
    <row r="2" spans="2:4" ht="15.75">
      <c r="B2" s="204"/>
      <c r="D2" s="373" t="s">
        <v>418</v>
      </c>
    </row>
    <row r="3" spans="2:4" ht="15.75">
      <c r="B3" s="205"/>
      <c r="D3" s="371" t="s">
        <v>772</v>
      </c>
    </row>
    <row r="4" spans="2:4" ht="15.75">
      <c r="B4" s="205"/>
      <c r="D4" s="371" t="s">
        <v>17</v>
      </c>
    </row>
    <row r="5" spans="2:4" ht="15.75">
      <c r="B5" s="204"/>
      <c r="D5" s="371" t="s">
        <v>18</v>
      </c>
    </row>
    <row r="6" spans="2:4" ht="15.75">
      <c r="B6" s="205"/>
      <c r="D6" s="371" t="s">
        <v>773</v>
      </c>
    </row>
    <row r="7" spans="2:4" ht="15.75">
      <c r="B7" s="205"/>
      <c r="D7" s="371" t="s">
        <v>774</v>
      </c>
    </row>
    <row r="11" spans="1:5" ht="41.25" customHeight="1">
      <c r="A11" s="384" t="s">
        <v>614</v>
      </c>
      <c r="B11" s="384"/>
      <c r="C11" s="384"/>
      <c r="D11" s="384"/>
      <c r="E11" s="384"/>
    </row>
    <row r="12" ht="15">
      <c r="E12" s="183" t="s">
        <v>178</v>
      </c>
    </row>
    <row r="13" spans="1:5" ht="16.5">
      <c r="A13" s="206"/>
      <c r="B13" s="207" t="s">
        <v>570</v>
      </c>
      <c r="C13" s="208" t="s">
        <v>21</v>
      </c>
      <c r="D13" s="208" t="s">
        <v>22</v>
      </c>
      <c r="E13" s="208" t="s">
        <v>166</v>
      </c>
    </row>
    <row r="14" spans="1:5" ht="16.5">
      <c r="A14" s="209"/>
      <c r="B14" s="186" t="s">
        <v>571</v>
      </c>
      <c r="C14" s="193">
        <f>C18+C21+C27+C24</f>
        <v>1230750350.0500002</v>
      </c>
      <c r="D14" s="193">
        <f>D18+D21+D27+D24</f>
        <v>18682585.64999962</v>
      </c>
      <c r="E14" s="193">
        <f>E18+E21+E27+E24</f>
        <v>-87705814.62999964</v>
      </c>
    </row>
    <row r="15" spans="1:5" ht="16.5">
      <c r="A15" s="210" t="s">
        <v>572</v>
      </c>
      <c r="B15" s="186" t="s">
        <v>567</v>
      </c>
      <c r="C15" s="193"/>
      <c r="D15" s="194" t="s">
        <v>573</v>
      </c>
      <c r="E15" s="194"/>
    </row>
    <row r="16" spans="1:5" ht="16.5" hidden="1">
      <c r="A16" s="211" t="s">
        <v>574</v>
      </c>
      <c r="B16" s="189" t="s">
        <v>575</v>
      </c>
      <c r="C16" s="190"/>
      <c r="D16" s="194"/>
      <c r="E16" s="194"/>
    </row>
    <row r="17" spans="1:5" ht="16.5" hidden="1">
      <c r="A17" s="211" t="s">
        <v>576</v>
      </c>
      <c r="B17" s="189" t="s">
        <v>577</v>
      </c>
      <c r="C17" s="190"/>
      <c r="D17" s="194"/>
      <c r="E17" s="194"/>
    </row>
    <row r="18" spans="1:5" ht="16.5">
      <c r="A18" s="210" t="s">
        <v>578</v>
      </c>
      <c r="B18" s="186" t="s">
        <v>579</v>
      </c>
      <c r="C18" s="193">
        <f>C19+C20</f>
        <v>0</v>
      </c>
      <c r="D18" s="193">
        <f>D19+D20</f>
        <v>0</v>
      </c>
      <c r="E18" s="193">
        <f>E19+E20</f>
        <v>0</v>
      </c>
    </row>
    <row r="19" spans="1:5" ht="16.5" hidden="1">
      <c r="A19" s="211" t="s">
        <v>580</v>
      </c>
      <c r="B19" s="189" t="s">
        <v>575</v>
      </c>
      <c r="C19" s="190">
        <v>0</v>
      </c>
      <c r="D19" s="194"/>
      <c r="E19" s="194"/>
    </row>
    <row r="20" spans="1:5" ht="16.5" hidden="1">
      <c r="A20" s="211" t="s">
        <v>581</v>
      </c>
      <c r="B20" s="189" t="s">
        <v>577</v>
      </c>
      <c r="C20" s="190"/>
      <c r="D20" s="194"/>
      <c r="E20" s="194"/>
    </row>
    <row r="21" spans="1:5" ht="16.5">
      <c r="A21" s="210" t="s">
        <v>582</v>
      </c>
      <c r="B21" s="186" t="s">
        <v>583</v>
      </c>
      <c r="C21" s="193">
        <f>C22+C23</f>
        <v>0</v>
      </c>
      <c r="D21" s="193">
        <f>D22+D23</f>
        <v>0</v>
      </c>
      <c r="E21" s="193">
        <f>E22+E23</f>
        <v>0</v>
      </c>
    </row>
    <row r="22" spans="1:5" ht="16.5" hidden="1">
      <c r="A22" s="211" t="s">
        <v>584</v>
      </c>
      <c r="B22" s="189" t="s">
        <v>575</v>
      </c>
      <c r="C22" s="191"/>
      <c r="D22" s="194"/>
      <c r="E22" s="212"/>
    </row>
    <row r="23" spans="1:5" ht="16.5" hidden="1">
      <c r="A23" s="211" t="s">
        <v>585</v>
      </c>
      <c r="B23" s="189" t="s">
        <v>577</v>
      </c>
      <c r="C23" s="202"/>
      <c r="D23" s="194"/>
      <c r="E23" s="194"/>
    </row>
    <row r="24" spans="1:5" ht="16.5">
      <c r="A24" s="210" t="s">
        <v>556</v>
      </c>
      <c r="B24" s="186" t="s">
        <v>586</v>
      </c>
      <c r="C24" s="193">
        <f>C25+C26</f>
        <v>1230750350.0500002</v>
      </c>
      <c r="D24" s="193">
        <f>D25+D26</f>
        <v>18682585.64999962</v>
      </c>
      <c r="E24" s="193">
        <f>E25+E26</f>
        <v>-87705814.62999964</v>
      </c>
    </row>
    <row r="25" spans="1:5" ht="16.5">
      <c r="A25" s="211" t="s">
        <v>587</v>
      </c>
      <c r="B25" s="189" t="s">
        <v>588</v>
      </c>
      <c r="C25" s="190">
        <f>-Приложение_1!C142</f>
        <v>-4145296222.12</v>
      </c>
      <c r="D25" s="190">
        <f>-Приложение_1!D142</f>
        <v>-3699412051.56</v>
      </c>
      <c r="E25" s="190">
        <f>-Приложение_1!E142</f>
        <v>-3826942498.89</v>
      </c>
    </row>
    <row r="26" spans="1:5" ht="16.5">
      <c r="A26" s="211" t="s">
        <v>589</v>
      </c>
      <c r="B26" s="189" t="s">
        <v>590</v>
      </c>
      <c r="C26" s="190">
        <f>'Приложение 4'!F15+'Приложение 6'!H13</f>
        <v>5376046572.17</v>
      </c>
      <c r="D26" s="190">
        <f>'Приложение 4'!G15+'Приложение 6'!I13</f>
        <v>3718094637.2099996</v>
      </c>
      <c r="E26" s="190">
        <f>'Приложение 4'!H15+'Приложение 6'!J13</f>
        <v>3739236684.26</v>
      </c>
    </row>
    <row r="27" spans="1:5" ht="16.5">
      <c r="A27" s="210" t="s">
        <v>563</v>
      </c>
      <c r="B27" s="186" t="s">
        <v>591</v>
      </c>
      <c r="C27" s="193">
        <f>C35</f>
        <v>0</v>
      </c>
      <c r="D27" s="193">
        <f>D35</f>
        <v>0</v>
      </c>
      <c r="E27" s="193">
        <f>E35</f>
        <v>0</v>
      </c>
    </row>
    <row r="28" spans="1:5" ht="16.5" hidden="1">
      <c r="A28" s="210" t="s">
        <v>592</v>
      </c>
      <c r="B28" s="186" t="s">
        <v>593</v>
      </c>
      <c r="C28" s="193">
        <v>0</v>
      </c>
      <c r="D28" s="193">
        <v>0</v>
      </c>
      <c r="E28" s="193">
        <v>0</v>
      </c>
    </row>
    <row r="29" spans="1:5" ht="16.5" hidden="1">
      <c r="A29" s="211" t="s">
        <v>594</v>
      </c>
      <c r="B29" s="189" t="s">
        <v>595</v>
      </c>
      <c r="C29" s="190"/>
      <c r="D29" s="194"/>
      <c r="E29" s="194"/>
    </row>
    <row r="30" spans="1:5" ht="16.5" hidden="1">
      <c r="A30" s="211" t="s">
        <v>596</v>
      </c>
      <c r="B30" s="189" t="s">
        <v>597</v>
      </c>
      <c r="C30" s="190"/>
      <c r="D30" s="194"/>
      <c r="E30" s="194"/>
    </row>
    <row r="31" spans="1:5" ht="16.5" hidden="1">
      <c r="A31" s="210" t="s">
        <v>598</v>
      </c>
      <c r="B31" s="186" t="s">
        <v>599</v>
      </c>
      <c r="C31" s="193">
        <v>0</v>
      </c>
      <c r="D31" s="193">
        <v>0</v>
      </c>
      <c r="E31" s="193">
        <v>0</v>
      </c>
    </row>
    <row r="32" spans="1:5" ht="16.5" hidden="1">
      <c r="A32" s="211" t="s">
        <v>600</v>
      </c>
      <c r="B32" s="189" t="s">
        <v>601</v>
      </c>
      <c r="C32" s="190"/>
      <c r="D32" s="194"/>
      <c r="E32" s="194"/>
    </row>
    <row r="33" spans="1:5" ht="16.5" hidden="1">
      <c r="A33" s="211" t="s">
        <v>602</v>
      </c>
      <c r="B33" s="189" t="s">
        <v>603</v>
      </c>
      <c r="C33" s="190"/>
      <c r="D33" s="194"/>
      <c r="E33" s="194"/>
    </row>
    <row r="34" spans="1:5" ht="16.5" hidden="1">
      <c r="A34" s="210" t="s">
        <v>604</v>
      </c>
      <c r="B34" s="186" t="s">
        <v>605</v>
      </c>
      <c r="C34" s="193">
        <v>0</v>
      </c>
      <c r="D34" s="193">
        <v>0</v>
      </c>
      <c r="E34" s="193">
        <v>0</v>
      </c>
    </row>
    <row r="35" spans="1:5" ht="33.75" hidden="1">
      <c r="A35" s="210" t="s">
        <v>606</v>
      </c>
      <c r="B35" s="186" t="s">
        <v>607</v>
      </c>
      <c r="C35" s="193">
        <f>SUM(C37:C37)</f>
        <v>0</v>
      </c>
      <c r="D35" s="193">
        <f>SUM(D37:D37)</f>
        <v>0</v>
      </c>
      <c r="E35" s="193">
        <f>SUM(E37:E37)</f>
        <v>0</v>
      </c>
    </row>
    <row r="36" spans="1:5" ht="16.5" hidden="1">
      <c r="A36" s="211" t="s">
        <v>608</v>
      </c>
      <c r="B36" s="189" t="s">
        <v>609</v>
      </c>
      <c r="C36" s="193"/>
      <c r="D36" s="193"/>
      <c r="E36" s="193"/>
    </row>
    <row r="37" spans="1:5" ht="16.5" hidden="1">
      <c r="A37" s="211" t="s">
        <v>610</v>
      </c>
      <c r="B37" s="189" t="s">
        <v>611</v>
      </c>
      <c r="C37" s="213">
        <v>0</v>
      </c>
      <c r="D37" s="213"/>
      <c r="E37" s="191">
        <v>0</v>
      </c>
    </row>
    <row r="38" spans="1:5" ht="16.5" hidden="1">
      <c r="A38" s="210" t="s">
        <v>612</v>
      </c>
      <c r="B38" s="186" t="s">
        <v>568</v>
      </c>
      <c r="C38" s="193">
        <f>C39</f>
        <v>0</v>
      </c>
      <c r="D38" s="193">
        <f>D39</f>
        <v>0</v>
      </c>
      <c r="E38" s="193">
        <f>E39</f>
        <v>0</v>
      </c>
    </row>
    <row r="39" spans="1:5" ht="16.5" hidden="1">
      <c r="A39" s="211" t="s">
        <v>613</v>
      </c>
      <c r="B39" s="189" t="s">
        <v>569</v>
      </c>
      <c r="C39" s="190"/>
      <c r="D39" s="194"/>
      <c r="E39" s="194"/>
    </row>
    <row r="41" spans="3:5" ht="15">
      <c r="C41" s="214"/>
      <c r="D41" s="214"/>
      <c r="E41" s="214"/>
    </row>
    <row r="43" spans="3:5" ht="15">
      <c r="C43" s="306"/>
      <c r="D43" s="306"/>
      <c r="E43" s="306"/>
    </row>
    <row r="44" ht="15">
      <c r="B44" s="203"/>
    </row>
  </sheetData>
  <sheetProtection/>
  <mergeCells count="1"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9.140625" style="215" customWidth="1"/>
    <col min="2" max="2" width="57.7109375" style="215" customWidth="1"/>
    <col min="3" max="3" width="20.00390625" style="215" customWidth="1"/>
    <col min="4" max="4" width="17.28125" style="215" customWidth="1"/>
    <col min="5" max="6" width="17.140625" style="215" customWidth="1"/>
    <col min="7" max="7" width="9.140625" style="215" customWidth="1"/>
    <col min="8" max="8" width="14.28125" style="357" customWidth="1"/>
    <col min="9" max="9" width="16.8515625" style="357" customWidth="1"/>
    <col min="10" max="10" width="15.421875" style="357" customWidth="1"/>
    <col min="11" max="16384" width="9.140625" style="215" customWidth="1"/>
  </cols>
  <sheetData>
    <row r="2" spans="5:6" ht="15.75">
      <c r="E2" s="374" t="s">
        <v>651</v>
      </c>
      <c r="F2" s="375"/>
    </row>
    <row r="3" spans="5:6" ht="15.75">
      <c r="E3" s="371" t="s">
        <v>772</v>
      </c>
      <c r="F3" s="375"/>
    </row>
    <row r="4" spans="5:6" ht="15.75">
      <c r="E4" s="371" t="s">
        <v>17</v>
      </c>
      <c r="F4" s="375"/>
    </row>
    <row r="5" spans="5:6" ht="15.75">
      <c r="E5" s="371" t="s">
        <v>18</v>
      </c>
      <c r="F5" s="375"/>
    </row>
    <row r="6" spans="5:6" ht="15.75">
      <c r="E6" s="371" t="s">
        <v>773</v>
      </c>
      <c r="F6" s="375"/>
    </row>
    <row r="7" spans="5:6" ht="15.75">
      <c r="E7" s="371" t="s">
        <v>774</v>
      </c>
      <c r="F7" s="375"/>
    </row>
    <row r="8" spans="5:6" ht="15.75">
      <c r="E8" s="376"/>
      <c r="F8" s="375"/>
    </row>
    <row r="9" spans="5:6" ht="15.75">
      <c r="E9" s="375"/>
      <c r="F9" s="375"/>
    </row>
    <row r="11" spans="1:6" ht="15.75" customHeight="1">
      <c r="A11" s="385" t="s">
        <v>615</v>
      </c>
      <c r="B11" s="385"/>
      <c r="C11" s="385"/>
      <c r="D11" s="385"/>
      <c r="E11" s="385"/>
      <c r="F11" s="385"/>
    </row>
    <row r="12" ht="15.75">
      <c r="F12" s="216" t="s">
        <v>178</v>
      </c>
    </row>
    <row r="13" spans="1:6" ht="33.75">
      <c r="A13" s="145" t="s">
        <v>616</v>
      </c>
      <c r="B13" s="223" t="s">
        <v>617</v>
      </c>
      <c r="C13" s="223" t="s">
        <v>618</v>
      </c>
      <c r="D13" s="223" t="s">
        <v>21</v>
      </c>
      <c r="E13" s="223" t="s">
        <v>22</v>
      </c>
      <c r="F13" s="217" t="s">
        <v>166</v>
      </c>
    </row>
    <row r="14" spans="1:10" s="232" customFormat="1" ht="16.5">
      <c r="A14" s="144"/>
      <c r="B14" s="224" t="s">
        <v>157</v>
      </c>
      <c r="C14" s="225">
        <f>SUM(D14:F14)</f>
        <v>426394753.65999997</v>
      </c>
      <c r="D14" s="225">
        <f>SUM(D15:D31)</f>
        <v>395194753.65999997</v>
      </c>
      <c r="E14" s="225">
        <f>SUM(E15:E31)</f>
        <v>15600000</v>
      </c>
      <c r="F14" s="225">
        <f>SUM(F15:F31)</f>
        <v>15600000</v>
      </c>
      <c r="H14" s="358"/>
      <c r="I14" s="358"/>
      <c r="J14" s="358"/>
    </row>
    <row r="15" spans="1:6" ht="51">
      <c r="A15" s="73">
        <v>1</v>
      </c>
      <c r="B15" s="226" t="s">
        <v>619</v>
      </c>
      <c r="C15" s="109">
        <f aca="true" t="shared" si="0" ref="C15:C22">D15+E15+F15</f>
        <v>127902277.06</v>
      </c>
      <c r="D15" s="109">
        <f>127902277.06-60000000+60000000</f>
        <v>127902277.06</v>
      </c>
      <c r="E15" s="109">
        <v>0</v>
      </c>
      <c r="F15" s="218">
        <v>0</v>
      </c>
    </row>
    <row r="16" spans="1:6" ht="51" hidden="1">
      <c r="A16" s="73">
        <v>3</v>
      </c>
      <c r="B16" s="146" t="s">
        <v>620</v>
      </c>
      <c r="C16" s="109">
        <f t="shared" si="0"/>
        <v>0</v>
      </c>
      <c r="D16" s="109"/>
      <c r="E16" s="109"/>
      <c r="F16" s="218"/>
    </row>
    <row r="17" spans="1:6" ht="51">
      <c r="A17" s="73">
        <v>2</v>
      </c>
      <c r="B17" s="146" t="s">
        <v>621</v>
      </c>
      <c r="C17" s="109">
        <f t="shared" si="0"/>
        <v>170080852.59</v>
      </c>
      <c r="D17" s="109">
        <f>218357573.58-30105767.39-13072917.63-5098035.97</f>
        <v>170080852.59</v>
      </c>
      <c r="E17" s="109">
        <v>0</v>
      </c>
      <c r="F17" s="218">
        <v>0</v>
      </c>
    </row>
    <row r="18" spans="1:6" ht="16.5">
      <c r="A18" s="73">
        <v>3</v>
      </c>
      <c r="B18" s="146" t="s">
        <v>622</v>
      </c>
      <c r="C18" s="109">
        <f t="shared" si="0"/>
        <v>26776540</v>
      </c>
      <c r="D18" s="109">
        <f>22638740+4137800</f>
        <v>26776540</v>
      </c>
      <c r="E18" s="109">
        <v>0</v>
      </c>
      <c r="F18" s="218">
        <v>0</v>
      </c>
    </row>
    <row r="19" spans="1:6" ht="33.75">
      <c r="A19" s="73">
        <v>4</v>
      </c>
      <c r="B19" s="356" t="s">
        <v>763</v>
      </c>
      <c r="C19" s="109">
        <f t="shared" si="0"/>
        <v>2665600</v>
      </c>
      <c r="D19" s="109">
        <v>2665600</v>
      </c>
      <c r="E19" s="109">
        <v>0</v>
      </c>
      <c r="F19" s="218">
        <v>0</v>
      </c>
    </row>
    <row r="20" spans="1:6" ht="16.5">
      <c r="A20" s="73">
        <v>5</v>
      </c>
      <c r="B20" s="146" t="s">
        <v>623</v>
      </c>
      <c r="C20" s="109">
        <f t="shared" si="0"/>
        <v>46600000</v>
      </c>
      <c r="D20" s="109">
        <v>15400000</v>
      </c>
      <c r="E20" s="109">
        <v>15600000</v>
      </c>
      <c r="F20" s="218">
        <v>15600000</v>
      </c>
    </row>
    <row r="21" spans="1:6" ht="33.75">
      <c r="A21" s="73">
        <v>6</v>
      </c>
      <c r="B21" s="146" t="s">
        <v>752</v>
      </c>
      <c r="C21" s="109">
        <f t="shared" si="0"/>
        <v>6424719.4</v>
      </c>
      <c r="D21" s="109">
        <f>5985000-5985000+5985000+439719.4</f>
        <v>6424719.4</v>
      </c>
      <c r="E21" s="109">
        <v>0</v>
      </c>
      <c r="F21" s="218">
        <v>0</v>
      </c>
    </row>
    <row r="22" spans="1:6" ht="51">
      <c r="A22" s="73">
        <v>7</v>
      </c>
      <c r="B22" s="146" t="s">
        <v>628</v>
      </c>
      <c r="C22" s="109">
        <f t="shared" si="0"/>
        <v>24344016</v>
      </c>
      <c r="D22" s="109">
        <v>24344016</v>
      </c>
      <c r="E22" s="109">
        <v>0</v>
      </c>
      <c r="F22" s="218">
        <v>0</v>
      </c>
    </row>
    <row r="23" spans="1:6" ht="51">
      <c r="A23" s="233">
        <v>8</v>
      </c>
      <c r="B23" s="219" t="s">
        <v>734</v>
      </c>
      <c r="C23" s="218">
        <f aca="true" t="shared" si="1" ref="C23:C31">SUM(D23:F23)</f>
        <v>164798.4</v>
      </c>
      <c r="D23" s="218">
        <v>164798.4</v>
      </c>
      <c r="E23" s="218">
        <v>0</v>
      </c>
      <c r="F23" s="218">
        <v>0</v>
      </c>
    </row>
    <row r="24" spans="1:6" ht="51">
      <c r="A24" s="236" t="s">
        <v>739</v>
      </c>
      <c r="B24" s="219" t="s">
        <v>624</v>
      </c>
      <c r="C24" s="218">
        <f t="shared" si="1"/>
        <v>28269.880000000005</v>
      </c>
      <c r="D24" s="218">
        <f>549000-520730.12</f>
        <v>28269.880000000005</v>
      </c>
      <c r="E24" s="218">
        <v>0</v>
      </c>
      <c r="F24" s="218">
        <v>0</v>
      </c>
    </row>
    <row r="25" spans="1:6" ht="33.75" hidden="1">
      <c r="A25" s="236">
        <v>10</v>
      </c>
      <c r="B25" s="219" t="s">
        <v>625</v>
      </c>
      <c r="C25" s="218">
        <f t="shared" si="1"/>
        <v>0</v>
      </c>
      <c r="D25" s="218"/>
      <c r="E25" s="218"/>
      <c r="F25" s="218">
        <v>0</v>
      </c>
    </row>
    <row r="26" spans="1:6" ht="33.75" hidden="1">
      <c r="A26" s="236">
        <v>11</v>
      </c>
      <c r="B26" s="219" t="s">
        <v>626</v>
      </c>
      <c r="C26" s="218">
        <f t="shared" si="1"/>
        <v>0</v>
      </c>
      <c r="D26" s="109"/>
      <c r="E26" s="218">
        <v>0</v>
      </c>
      <c r="F26" s="218">
        <v>0</v>
      </c>
    </row>
    <row r="27" spans="1:6" ht="84.75">
      <c r="A27" s="236" t="s">
        <v>336</v>
      </c>
      <c r="B27" s="219" t="s">
        <v>740</v>
      </c>
      <c r="C27" s="218">
        <f t="shared" si="1"/>
        <v>1024212.72</v>
      </c>
      <c r="D27" s="109">
        <v>1024212.72</v>
      </c>
      <c r="E27" s="218"/>
      <c r="F27" s="218"/>
    </row>
    <row r="28" spans="1:6" ht="16.5">
      <c r="A28" s="236" t="s">
        <v>321</v>
      </c>
      <c r="B28" s="48" t="s">
        <v>627</v>
      </c>
      <c r="C28" s="218">
        <f t="shared" si="1"/>
        <v>9810436.8</v>
      </c>
      <c r="D28" s="109">
        <v>9810436.8</v>
      </c>
      <c r="E28" s="218">
        <v>0</v>
      </c>
      <c r="F28" s="218">
        <v>0</v>
      </c>
    </row>
    <row r="29" spans="1:6" ht="51">
      <c r="A29" s="236" t="s">
        <v>397</v>
      </c>
      <c r="B29" s="234" t="s">
        <v>646</v>
      </c>
      <c r="C29" s="218">
        <f t="shared" si="1"/>
        <v>7400849.609999999</v>
      </c>
      <c r="D29" s="218">
        <f>4561714.79+2839134.82</f>
        <v>7400849.609999999</v>
      </c>
      <c r="E29" s="218">
        <v>0</v>
      </c>
      <c r="F29" s="218">
        <v>0</v>
      </c>
    </row>
    <row r="30" spans="1:6" ht="84.75">
      <c r="A30" s="236" t="s">
        <v>327</v>
      </c>
      <c r="B30" s="235" t="s">
        <v>647</v>
      </c>
      <c r="C30" s="218">
        <f t="shared" si="1"/>
        <v>2500000</v>
      </c>
      <c r="D30" s="218">
        <v>2500000</v>
      </c>
      <c r="E30" s="218">
        <v>0</v>
      </c>
      <c r="F30" s="218">
        <v>0</v>
      </c>
    </row>
    <row r="31" spans="1:6" ht="15.75">
      <c r="A31" s="236" t="s">
        <v>376</v>
      </c>
      <c r="B31" s="218" t="s">
        <v>650</v>
      </c>
      <c r="C31" s="218">
        <f t="shared" si="1"/>
        <v>672181.2</v>
      </c>
      <c r="D31" s="218">
        <v>672181.2</v>
      </c>
      <c r="E31" s="218">
        <v>0</v>
      </c>
      <c r="F31" s="218">
        <v>0</v>
      </c>
    </row>
  </sheetData>
  <sheetProtection/>
  <mergeCells count="1"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ТолмачеваС</dc:creator>
  <cp:keywords/>
  <dc:description/>
  <cp:lastModifiedBy>Microsoft Office User</cp:lastModifiedBy>
  <cp:lastPrinted>2022-09-28T08:17:28Z</cp:lastPrinted>
  <dcterms:created xsi:type="dcterms:W3CDTF">2020-12-18T04:06:31Z</dcterms:created>
  <dcterms:modified xsi:type="dcterms:W3CDTF">2022-10-01T11:32:42Z</dcterms:modified>
  <cp:category/>
  <cp:version/>
  <cp:contentType/>
  <cp:contentStatus/>
</cp:coreProperties>
</file>