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550" activeTab="4"/>
  </bookViews>
  <sheets>
    <sheet name="Приложение_1" sheetId="2" r:id="rId1"/>
    <sheet name="Приложение 2" sheetId="11" r:id="rId2"/>
    <sheet name="Приложение 3" sheetId="12" r:id="rId3"/>
    <sheet name="Приложение 4" sheetId="13" r:id="rId4"/>
    <sheet name="Приложение 5" sheetId="19" r:id="rId5"/>
  </sheets>
  <definedNames>
    <definedName name="_xlnm._FilterDatabase" localSheetId="2" hidden="1">'Приложение 3'!$A$14:$H$351</definedName>
    <definedName name="_xlnm._FilterDatabase" localSheetId="3" hidden="1">'Приложение 4'!$A$15:$I$352</definedName>
    <definedName name="_xlnm.Print_Area" localSheetId="0">Приложение_1!$A$1:$E$142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3" l="1"/>
  <c r="G46" i="13"/>
  <c r="G47" i="13"/>
  <c r="H81" i="13"/>
  <c r="H80" i="13" s="1"/>
  <c r="H79" i="13" s="1"/>
  <c r="I81" i="13"/>
  <c r="I80" i="13" s="1"/>
  <c r="I79" i="13" s="1"/>
  <c r="H82" i="13"/>
  <c r="I82" i="13"/>
  <c r="G79" i="13"/>
  <c r="G80" i="13"/>
  <c r="G81" i="13"/>
  <c r="G82" i="13"/>
  <c r="F44" i="12"/>
  <c r="F45" i="12"/>
  <c r="F46" i="12"/>
  <c r="G80" i="12"/>
  <c r="G79" i="12" s="1"/>
  <c r="G78" i="12" s="1"/>
  <c r="H80" i="12"/>
  <c r="H79" i="12" s="1"/>
  <c r="H78" i="12" s="1"/>
  <c r="G81" i="12"/>
  <c r="H81" i="12"/>
  <c r="F78" i="12"/>
  <c r="F79" i="12"/>
  <c r="F80" i="12"/>
  <c r="F81" i="12"/>
  <c r="F56" i="11"/>
  <c r="G13" i="11"/>
  <c r="H13" i="11"/>
  <c r="G102" i="11"/>
  <c r="G101" i="11" s="1"/>
  <c r="G100" i="11" s="1"/>
  <c r="G99" i="11" s="1"/>
  <c r="G98" i="11" s="1"/>
  <c r="H102" i="11"/>
  <c r="H101" i="11" s="1"/>
  <c r="H100" i="11" s="1"/>
  <c r="H99" i="11" s="1"/>
  <c r="H98" i="11" s="1"/>
  <c r="F98" i="11"/>
  <c r="F99" i="11"/>
  <c r="F100" i="11"/>
  <c r="F101" i="11"/>
  <c r="F102" i="11"/>
  <c r="C16" i="2" l="1"/>
  <c r="C20" i="2" l="1"/>
  <c r="F230" i="11" l="1"/>
  <c r="C141" i="2" l="1"/>
  <c r="F160" i="11" l="1"/>
  <c r="C139" i="2"/>
  <c r="F194" i="11" l="1"/>
  <c r="F200" i="11"/>
  <c r="C140" i="2" l="1"/>
  <c r="D87" i="2"/>
  <c r="D92" i="2" s="1"/>
  <c r="E87" i="2"/>
  <c r="E92" i="2" s="1"/>
  <c r="C87" i="2"/>
  <c r="C86" i="2"/>
  <c r="C80" i="2"/>
  <c r="C54" i="2"/>
  <c r="C29" i="2"/>
  <c r="F95" i="11"/>
  <c r="C55" i="2" l="1"/>
  <c r="C56" i="2"/>
  <c r="F25" i="11"/>
  <c r="F24" i="11"/>
  <c r="F86" i="11"/>
  <c r="F72" i="11"/>
  <c r="F71" i="11"/>
  <c r="F32" i="11"/>
  <c r="F31" i="11"/>
  <c r="F19" i="11"/>
  <c r="F109" i="11" l="1"/>
  <c r="F221" i="11" l="1"/>
  <c r="F45" i="11" l="1"/>
  <c r="F65" i="11" l="1"/>
  <c r="F41" i="11"/>
  <c r="F39" i="11"/>
  <c r="F214" i="11"/>
  <c r="F188" i="11"/>
  <c r="F208" i="11"/>
  <c r="F120" i="11"/>
  <c r="F61" i="11"/>
  <c r="F158" i="11" l="1"/>
  <c r="F91" i="11"/>
  <c r="G64" i="11"/>
  <c r="H64" i="11"/>
  <c r="F64" i="11"/>
  <c r="F66" i="11"/>
  <c r="F89" i="11" l="1"/>
  <c r="F88" i="11"/>
  <c r="F211" i="11"/>
  <c r="F129" i="11"/>
  <c r="G192" i="11" l="1"/>
  <c r="H192" i="11"/>
  <c r="F192" i="11"/>
  <c r="C122" i="2" l="1"/>
  <c r="C115" i="2"/>
  <c r="C123" i="2"/>
  <c r="C113" i="2"/>
  <c r="C112" i="2"/>
  <c r="C97" i="2" l="1"/>
  <c r="C68" i="2"/>
  <c r="F42" i="11" l="1"/>
  <c r="F125" i="11" l="1"/>
  <c r="F79" i="11" l="1"/>
  <c r="F75" i="11"/>
  <c r="F69" i="11" l="1"/>
  <c r="G126" i="11" l="1"/>
  <c r="H126" i="11"/>
  <c r="F127" i="11"/>
  <c r="F80" i="11"/>
  <c r="F87" i="11" l="1"/>
  <c r="F210" i="11" l="1"/>
  <c r="G210" i="11"/>
  <c r="H210" i="11"/>
  <c r="F165" i="11"/>
  <c r="C138" i="2" l="1"/>
  <c r="G78" i="11"/>
  <c r="H78" i="11"/>
  <c r="C132" i="2" l="1"/>
  <c r="C99" i="2" l="1"/>
  <c r="C98" i="2" l="1"/>
  <c r="F153" i="11" l="1"/>
  <c r="F97" i="11" l="1"/>
  <c r="F220" i="11" l="1"/>
  <c r="F152" i="11" l="1"/>
  <c r="G151" i="11"/>
  <c r="H151" i="11"/>
  <c r="F151" i="11" l="1"/>
  <c r="G85" i="11" l="1"/>
  <c r="H85" i="11"/>
  <c r="F85" i="11"/>
  <c r="D98" i="2" l="1"/>
  <c r="E98" i="2"/>
  <c r="F228" i="11" l="1"/>
  <c r="C110" i="2"/>
  <c r="E52" i="2" l="1"/>
  <c r="D52" i="2"/>
  <c r="C52" i="2"/>
  <c r="E51" i="2"/>
  <c r="D51" i="2"/>
  <c r="C51" i="2"/>
  <c r="E50" i="2"/>
  <c r="D50" i="2"/>
  <c r="C50" i="2"/>
  <c r="E30" i="2"/>
  <c r="D30" i="2"/>
  <c r="C30" i="2"/>
  <c r="E29" i="2"/>
  <c r="D29" i="2"/>
  <c r="E28" i="2"/>
  <c r="D28" i="2"/>
  <c r="C28" i="2"/>
  <c r="E25" i="2"/>
  <c r="D25" i="2"/>
  <c r="C25" i="2"/>
  <c r="E24" i="2"/>
  <c r="D24" i="2"/>
  <c r="C24" i="2"/>
  <c r="E23" i="2"/>
  <c r="D23" i="2"/>
  <c r="C23" i="2"/>
  <c r="E22" i="2"/>
  <c r="D22" i="2"/>
  <c r="C22" i="2"/>
  <c r="G96" i="11" l="1"/>
  <c r="H96" i="11"/>
  <c r="F96" i="11"/>
  <c r="H75" i="11" l="1"/>
  <c r="G75" i="11"/>
  <c r="E38" i="19" l="1"/>
  <c r="D38" i="19"/>
  <c r="C38" i="19"/>
  <c r="E35" i="19"/>
  <c r="E27" i="19" s="1"/>
  <c r="D35" i="19"/>
  <c r="D27" i="19" s="1"/>
  <c r="C35" i="19"/>
  <c r="C27" i="19" s="1"/>
  <c r="E21" i="19"/>
  <c r="D21" i="19"/>
  <c r="C21" i="19"/>
  <c r="E18" i="19"/>
  <c r="D18" i="19"/>
  <c r="C18" i="19"/>
  <c r="G50" i="11" l="1"/>
  <c r="G49" i="11" s="1"/>
  <c r="G48" i="11" s="1"/>
  <c r="G47" i="11" s="1"/>
  <c r="H50" i="11"/>
  <c r="H49" i="11" s="1"/>
  <c r="H48" i="11" s="1"/>
  <c r="H47" i="11" s="1"/>
  <c r="F50" i="11"/>
  <c r="F49" i="11" s="1"/>
  <c r="F48" i="11" s="1"/>
  <c r="F47" i="11" s="1"/>
  <c r="F110" i="11"/>
  <c r="F78" i="11"/>
  <c r="F76" i="11"/>
  <c r="F74" i="11" s="1"/>
  <c r="F46" i="11" l="1"/>
  <c r="H24" i="11"/>
  <c r="G24" i="11"/>
  <c r="H229" i="11" l="1"/>
  <c r="G229" i="11"/>
  <c r="F229" i="11"/>
  <c r="H227" i="11"/>
  <c r="H226" i="11" s="1"/>
  <c r="H225" i="11" s="1"/>
  <c r="H224" i="11" s="1"/>
  <c r="H223" i="11" s="1"/>
  <c r="G227" i="11"/>
  <c r="G226" i="11" s="1"/>
  <c r="G225" i="11" s="1"/>
  <c r="G224" i="11" s="1"/>
  <c r="G223" i="11" s="1"/>
  <c r="F227" i="11"/>
  <c r="H219" i="11"/>
  <c r="H218" i="11" s="1"/>
  <c r="H217" i="11" s="1"/>
  <c r="H216" i="11" s="1"/>
  <c r="H215" i="11" s="1"/>
  <c r="G219" i="11"/>
  <c r="G218" i="11" s="1"/>
  <c r="G217" i="11" s="1"/>
  <c r="G216" i="11" s="1"/>
  <c r="G215" i="11" s="1"/>
  <c r="H212" i="11"/>
  <c r="H209" i="11" s="1"/>
  <c r="G212" i="11"/>
  <c r="G209" i="11" s="1"/>
  <c r="F212" i="11"/>
  <c r="F209" i="11" s="1"/>
  <c r="H207" i="11"/>
  <c r="H206" i="11" s="1"/>
  <c r="G207" i="11"/>
  <c r="G206" i="11" s="1"/>
  <c r="F207" i="11"/>
  <c r="F206" i="11" s="1"/>
  <c r="H200" i="11"/>
  <c r="H199" i="11" s="1"/>
  <c r="H198" i="11" s="1"/>
  <c r="H197" i="11" s="1"/>
  <c r="G200" i="11"/>
  <c r="G199" i="11" s="1"/>
  <c r="G198" i="11" s="1"/>
  <c r="G197" i="11" s="1"/>
  <c r="F195" i="11"/>
  <c r="H195" i="11"/>
  <c r="G195" i="11"/>
  <c r="F187" i="11"/>
  <c r="H187" i="11"/>
  <c r="H186" i="11" s="1"/>
  <c r="H185" i="11" s="1"/>
  <c r="H184" i="11" s="1"/>
  <c r="G187" i="11"/>
  <c r="G186" i="11" s="1"/>
  <c r="G185" i="11" s="1"/>
  <c r="G184" i="11" s="1"/>
  <c r="H181" i="11"/>
  <c r="H180" i="11" s="1"/>
  <c r="H179" i="11" s="1"/>
  <c r="H178" i="11" s="1"/>
  <c r="H177" i="11" s="1"/>
  <c r="G181" i="11"/>
  <c r="G180" i="11" s="1"/>
  <c r="G179" i="11" s="1"/>
  <c r="G178" i="11" s="1"/>
  <c r="G177" i="11" s="1"/>
  <c r="F181" i="11"/>
  <c r="F180" i="11" s="1"/>
  <c r="F179" i="11" s="1"/>
  <c r="F178" i="11" s="1"/>
  <c r="F177" i="11" s="1"/>
  <c r="H175" i="11"/>
  <c r="H174" i="11" s="1"/>
  <c r="H173" i="11" s="1"/>
  <c r="H172" i="11" s="1"/>
  <c r="H171" i="11" s="1"/>
  <c r="G175" i="11"/>
  <c r="G174" i="11" s="1"/>
  <c r="G173" i="11" s="1"/>
  <c r="G172" i="11" s="1"/>
  <c r="G171" i="11" s="1"/>
  <c r="F175" i="11"/>
  <c r="F174" i="11" s="1"/>
  <c r="F173" i="11" s="1"/>
  <c r="F172" i="11" s="1"/>
  <c r="F171" i="11" s="1"/>
  <c r="F169" i="11"/>
  <c r="F168" i="11" s="1"/>
  <c r="F167" i="11" s="1"/>
  <c r="F166" i="11" s="1"/>
  <c r="H169" i="11"/>
  <c r="H168" i="11" s="1"/>
  <c r="H167" i="11" s="1"/>
  <c r="H166" i="11" s="1"/>
  <c r="G169" i="11"/>
  <c r="G168" i="11" s="1"/>
  <c r="G167" i="11" s="1"/>
  <c r="G166" i="11" s="1"/>
  <c r="H164" i="11"/>
  <c r="H163" i="11" s="1"/>
  <c r="H162" i="11" s="1"/>
  <c r="H161" i="11" s="1"/>
  <c r="G164" i="11"/>
  <c r="G163" i="11" s="1"/>
  <c r="G162" i="11" s="1"/>
  <c r="G161" i="11" s="1"/>
  <c r="F164" i="11"/>
  <c r="F163" i="11" s="1"/>
  <c r="F162" i="11" s="1"/>
  <c r="F161" i="11" s="1"/>
  <c r="F157" i="11"/>
  <c r="F156" i="11" s="1"/>
  <c r="F155" i="11" s="1"/>
  <c r="F154" i="11" s="1"/>
  <c r="H157" i="11"/>
  <c r="H156" i="11" s="1"/>
  <c r="H155" i="11" s="1"/>
  <c r="H154" i="11" s="1"/>
  <c r="G157" i="11"/>
  <c r="G156" i="11" s="1"/>
  <c r="G155" i="11" s="1"/>
  <c r="G154" i="11" s="1"/>
  <c r="F150" i="11"/>
  <c r="F149" i="11" s="1"/>
  <c r="F148" i="11" s="1"/>
  <c r="H150" i="11"/>
  <c r="H149" i="11" s="1"/>
  <c r="H148" i="11" s="1"/>
  <c r="G150" i="11"/>
  <c r="G149" i="11" s="1"/>
  <c r="G148" i="11" s="1"/>
  <c r="H145" i="11"/>
  <c r="H144" i="11" s="1"/>
  <c r="H143" i="11" s="1"/>
  <c r="H142" i="11" s="1"/>
  <c r="G145" i="11"/>
  <c r="G144" i="11" s="1"/>
  <c r="G143" i="11" s="1"/>
  <c r="G142" i="11" s="1"/>
  <c r="F145" i="11"/>
  <c r="F144" i="11" s="1"/>
  <c r="F143" i="11" s="1"/>
  <c r="F142" i="11" s="1"/>
  <c r="F140" i="11"/>
  <c r="F139" i="11" s="1"/>
  <c r="F138" i="11" s="1"/>
  <c r="F137" i="11" s="1"/>
  <c r="F136" i="11" s="1"/>
  <c r="H139" i="11"/>
  <c r="H138" i="11" s="1"/>
  <c r="H137" i="11" s="1"/>
  <c r="H136" i="11" s="1"/>
  <c r="G139" i="11"/>
  <c r="G138" i="11" s="1"/>
  <c r="G137" i="11" s="1"/>
  <c r="G136" i="11" s="1"/>
  <c r="H133" i="11"/>
  <c r="H132" i="11" s="1"/>
  <c r="H131" i="11" s="1"/>
  <c r="H130" i="11" s="1"/>
  <c r="G133" i="11"/>
  <c r="G132" i="11" s="1"/>
  <c r="G131" i="11" s="1"/>
  <c r="G130" i="11" s="1"/>
  <c r="F133" i="11"/>
  <c r="F132" i="11" s="1"/>
  <c r="F131" i="11" s="1"/>
  <c r="F130" i="11" s="1"/>
  <c r="H127" i="11"/>
  <c r="G127" i="11"/>
  <c r="F126" i="11"/>
  <c r="F124" i="11"/>
  <c r="F123" i="11" s="1"/>
  <c r="H124" i="11"/>
  <c r="H123" i="11" s="1"/>
  <c r="H122" i="11" s="1"/>
  <c r="H121" i="11" s="1"/>
  <c r="G124" i="11"/>
  <c r="G123" i="11" s="1"/>
  <c r="H119" i="11"/>
  <c r="H118" i="11" s="1"/>
  <c r="H117" i="11" s="1"/>
  <c r="H116" i="11" s="1"/>
  <c r="G119" i="11"/>
  <c r="G118" i="11" s="1"/>
  <c r="G117" i="11" s="1"/>
  <c r="G116" i="11" s="1"/>
  <c r="F119" i="11"/>
  <c r="F118" i="11" s="1"/>
  <c r="F117" i="11" s="1"/>
  <c r="F116" i="11" s="1"/>
  <c r="F113" i="11"/>
  <c r="F112" i="11" s="1"/>
  <c r="H113" i="11"/>
  <c r="H112" i="11" s="1"/>
  <c r="G113" i="11"/>
  <c r="G112" i="11" s="1"/>
  <c r="H108" i="11"/>
  <c r="H107" i="11" s="1"/>
  <c r="F94" i="11"/>
  <c r="H94" i="11"/>
  <c r="G94" i="11"/>
  <c r="F92" i="11"/>
  <c r="H92" i="11"/>
  <c r="G92" i="11"/>
  <c r="H90" i="11"/>
  <c r="G90" i="11"/>
  <c r="F90" i="11"/>
  <c r="H83" i="11"/>
  <c r="G83" i="11"/>
  <c r="F83" i="11"/>
  <c r="H74" i="11"/>
  <c r="F70" i="11"/>
  <c r="G68" i="11"/>
  <c r="F68" i="11"/>
  <c r="H68" i="11"/>
  <c r="F62" i="11"/>
  <c r="H62" i="11"/>
  <c r="G62" i="11"/>
  <c r="H60" i="11"/>
  <c r="G60" i="11"/>
  <c r="F60" i="11"/>
  <c r="F55" i="11"/>
  <c r="F54" i="11" s="1"/>
  <c r="F53" i="11" s="1"/>
  <c r="F52" i="11" s="1"/>
  <c r="H55" i="11"/>
  <c r="H54" i="11" s="1"/>
  <c r="H53" i="11" s="1"/>
  <c r="H52" i="11" s="1"/>
  <c r="G55" i="11"/>
  <c r="G54" i="11" s="1"/>
  <c r="G53" i="11" s="1"/>
  <c r="G52" i="11" s="1"/>
  <c r="F44" i="11"/>
  <c r="H44" i="11"/>
  <c r="G44" i="11"/>
  <c r="F40" i="11"/>
  <c r="G40" i="11"/>
  <c r="H40" i="11"/>
  <c r="H38" i="11"/>
  <c r="G38" i="11"/>
  <c r="F38" i="11"/>
  <c r="H30" i="11"/>
  <c r="H29" i="11" s="1"/>
  <c r="H28" i="11" s="1"/>
  <c r="H27" i="11" s="1"/>
  <c r="G30" i="11"/>
  <c r="G29" i="11" s="1"/>
  <c r="G28" i="11" s="1"/>
  <c r="G27" i="11" s="1"/>
  <c r="F30" i="11"/>
  <c r="F29" i="11" s="1"/>
  <c r="F28" i="11" s="1"/>
  <c r="F27" i="11" s="1"/>
  <c r="G23" i="11"/>
  <c r="G22" i="11" s="1"/>
  <c r="G21" i="11" s="1"/>
  <c r="G20" i="11" s="1"/>
  <c r="F23" i="11"/>
  <c r="F22" i="11" s="1"/>
  <c r="F21" i="11" s="1"/>
  <c r="F20" i="11" s="1"/>
  <c r="F18" i="11"/>
  <c r="F17" i="11" s="1"/>
  <c r="F16" i="11" s="1"/>
  <c r="F15" i="11" s="1"/>
  <c r="H18" i="11"/>
  <c r="H17" i="11" s="1"/>
  <c r="H16" i="11" s="1"/>
  <c r="H15" i="11" s="1"/>
  <c r="G18" i="11"/>
  <c r="G17" i="11" s="1"/>
  <c r="G16" i="11" s="1"/>
  <c r="G15" i="11" s="1"/>
  <c r="F186" i="11" l="1"/>
  <c r="F185" i="11" s="1"/>
  <c r="F184" i="11" s="1"/>
  <c r="F82" i="11"/>
  <c r="F147" i="11"/>
  <c r="G82" i="11"/>
  <c r="G191" i="11"/>
  <c r="G190" i="11" s="1"/>
  <c r="G189" i="11" s="1"/>
  <c r="H82" i="11"/>
  <c r="G135" i="11"/>
  <c r="H205" i="11"/>
  <c r="H204" i="11" s="1"/>
  <c r="F205" i="11"/>
  <c r="F204" i="11" s="1"/>
  <c r="H106" i="11"/>
  <c r="H105" i="11" s="1"/>
  <c r="H104" i="11" s="1"/>
  <c r="G147" i="11"/>
  <c r="H191" i="11"/>
  <c r="H190" i="11" s="1"/>
  <c r="H189" i="11" s="1"/>
  <c r="H183" i="11" s="1"/>
  <c r="F226" i="11"/>
  <c r="F225" i="11" s="1"/>
  <c r="F224" i="11" s="1"/>
  <c r="F223" i="11" s="1"/>
  <c r="G122" i="11"/>
  <c r="G121" i="11" s="1"/>
  <c r="G115" i="11" s="1"/>
  <c r="G205" i="11"/>
  <c r="G204" i="11" s="1"/>
  <c r="G183" i="11" s="1"/>
  <c r="F219" i="11"/>
  <c r="F218" i="11" s="1"/>
  <c r="F217" i="11" s="1"/>
  <c r="F216" i="11" s="1"/>
  <c r="F215" i="11" s="1"/>
  <c r="G37" i="11"/>
  <c r="G36" i="11" s="1"/>
  <c r="G35" i="11" s="1"/>
  <c r="H23" i="11"/>
  <c r="H22" i="11" s="1"/>
  <c r="H21" i="11" s="1"/>
  <c r="H20" i="11" s="1"/>
  <c r="G70" i="11"/>
  <c r="H70" i="11"/>
  <c r="H59" i="11" s="1"/>
  <c r="G74" i="11"/>
  <c r="F108" i="11"/>
  <c r="F107" i="11" s="1"/>
  <c r="F106" i="11" s="1"/>
  <c r="F105" i="11" s="1"/>
  <c r="F104" i="11" s="1"/>
  <c r="G108" i="11"/>
  <c r="G107" i="11" s="1"/>
  <c r="G106" i="11" s="1"/>
  <c r="G105" i="11" s="1"/>
  <c r="G104" i="11" s="1"/>
  <c r="F191" i="11"/>
  <c r="F190" i="11" s="1"/>
  <c r="F189" i="11" s="1"/>
  <c r="F59" i="11"/>
  <c r="F199" i="11"/>
  <c r="F198" i="11" s="1"/>
  <c r="F197" i="11" s="1"/>
  <c r="H135" i="11"/>
  <c r="F37" i="11"/>
  <c r="F36" i="11" s="1"/>
  <c r="F35" i="11" s="1"/>
  <c r="H115" i="11"/>
  <c r="F122" i="11"/>
  <c r="H147" i="11"/>
  <c r="F135" i="11"/>
  <c r="H37" i="11"/>
  <c r="H36" i="11" s="1"/>
  <c r="H35" i="11" s="1"/>
  <c r="F121" i="11" l="1"/>
  <c r="F115" i="11" s="1"/>
  <c r="G59" i="11"/>
  <c r="G58" i="11" s="1"/>
  <c r="G57" i="11" s="1"/>
  <c r="F58" i="11"/>
  <c r="F57" i="11" s="1"/>
  <c r="F14" i="11" s="1"/>
  <c r="F13" i="11" s="1"/>
  <c r="H58" i="11"/>
  <c r="H57" i="11" s="1"/>
  <c r="F183" i="11"/>
  <c r="G14" i="11" l="1"/>
  <c r="H14" i="11"/>
  <c r="D49" i="2"/>
  <c r="E49" i="2"/>
  <c r="C49" i="2"/>
  <c r="D27" i="2"/>
  <c r="E27" i="2"/>
  <c r="C27" i="2"/>
  <c r="D15" i="2"/>
  <c r="E15" i="2"/>
  <c r="C15" i="2"/>
  <c r="C92" i="2" s="1"/>
  <c r="D76" i="2"/>
  <c r="E76" i="2"/>
  <c r="C76" i="2"/>
  <c r="J15" i="12" l="1"/>
  <c r="L15" i="12"/>
  <c r="K15" i="12"/>
  <c r="E137" i="2"/>
  <c r="D137" i="2"/>
  <c r="C137" i="2"/>
  <c r="E135" i="2"/>
  <c r="D135" i="2"/>
  <c r="C135" i="2"/>
  <c r="E110" i="2"/>
  <c r="D110" i="2"/>
  <c r="E95" i="2"/>
  <c r="D95" i="2"/>
  <c r="C95" i="2"/>
  <c r="E90" i="2"/>
  <c r="D90" i="2"/>
  <c r="C90" i="2"/>
  <c r="E84" i="2"/>
  <c r="D84" i="2"/>
  <c r="C84" i="2"/>
  <c r="E82" i="2"/>
  <c r="D82" i="2"/>
  <c r="C82" i="2"/>
  <c r="E56" i="2"/>
  <c r="E55" i="2" s="1"/>
  <c r="D56" i="2"/>
  <c r="D55" i="2" s="1"/>
  <c r="E43" i="2"/>
  <c r="E41" i="2" s="1"/>
  <c r="D43" i="2"/>
  <c r="D41" i="2" s="1"/>
  <c r="C43" i="2"/>
  <c r="C41" i="2" s="1"/>
  <c r="E38" i="2"/>
  <c r="D38" i="2"/>
  <c r="C38" i="2"/>
  <c r="E36" i="2"/>
  <c r="D36" i="2"/>
  <c r="C36" i="2"/>
  <c r="E33" i="2"/>
  <c r="D33" i="2"/>
  <c r="C33" i="2"/>
  <c r="D26" i="2"/>
  <c r="E26" i="2"/>
  <c r="C26" i="2"/>
  <c r="E21" i="2"/>
  <c r="D21" i="2"/>
  <c r="C21" i="2"/>
  <c r="D94" i="2" l="1"/>
  <c r="D93" i="2" s="1"/>
  <c r="C94" i="2"/>
  <c r="C93" i="2" s="1"/>
  <c r="E81" i="2"/>
  <c r="D81" i="2"/>
  <c r="E94" i="2"/>
  <c r="E93" i="2" s="1"/>
  <c r="C81" i="2"/>
  <c r="C147" i="2" s="1"/>
  <c r="E146" i="2"/>
  <c r="C146" i="2"/>
  <c r="D146" i="2"/>
  <c r="E142" i="2" l="1"/>
  <c r="E25" i="19" s="1"/>
  <c r="D142" i="2"/>
  <c r="D25" i="19" s="1"/>
  <c r="D24" i="19" s="1"/>
  <c r="D14" i="19" s="1"/>
  <c r="E147" i="2"/>
  <c r="C142" i="2"/>
  <c r="C25" i="19" s="1"/>
  <c r="D147" i="2"/>
  <c r="D148" i="2" s="1"/>
  <c r="E148" i="2"/>
  <c r="C148" i="2"/>
  <c r="C24" i="19" l="1"/>
  <c r="C14" i="19" s="1"/>
  <c r="E24" i="19"/>
  <c r="E14" i="19" s="1"/>
</calcChain>
</file>

<file path=xl/sharedStrings.xml><?xml version="1.0" encoding="utf-8"?>
<sst xmlns="http://schemas.openxmlformats.org/spreadsheetml/2006/main" count="3891" uniqueCount="565">
  <si>
    <t xml:space="preserve">Государственная пошлина за выдачу разрешения на установку рекламной конструкции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</si>
  <si>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</si>
  <si>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</si>
  <si>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</si>
  <si>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</si>
  <si>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</si>
  <si>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</si>
  <si>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</si>
  <si>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</si>
  <si>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</si>
  <si>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</si>
  <si>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Прочие неналоговые доходы бюджетов муниципальных районов</t>
  </si>
  <si>
    <t xml:space="preserve"> Субвенции бюджетам муниципальных районов на выполнение передаваемых полномочий по выравниванию бюджетной обеспеченности поселений</t>
  </si>
  <si>
    <t>Выполнение отдельных государственных полномочий по государственному регулированию цен (тарифов)</t>
  </si>
  <si>
    <t>Прочие безвозмездные поступления в бюджеты муниципальных районов</t>
  </si>
  <si>
    <t>Приложение № 3</t>
  </si>
  <si>
    <t>к проекту решенияРайонного</t>
  </si>
  <si>
    <t>Совета депутатов</t>
  </si>
  <si>
    <t>муниципального образования</t>
  </si>
  <si>
    <t>"Ленский район"</t>
  </si>
  <si>
    <t>КБК</t>
  </si>
  <si>
    <t>Наименование</t>
  </si>
  <si>
    <t>Сумма на 2022 год</t>
  </si>
  <si>
    <t>Сумма на 2023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</si>
  <si>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</si>
  <si>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</si>
  <si>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</si>
  <si>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</si>
  <si>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</si>
  <si>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</si>
  <si>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</si>
  <si>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</si>
  <si>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</si>
  <si>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</si>
  <si>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000 1 03 00000 00 0000 000</t>
  </si>
  <si>
    <t>НАЛОГИ НА ТОВАРЫ (РАБОТЫ, УСЛУГИ), РЕАЛИЗУЕМЫЕ НА ТЕРРИТОРИИ РОССИЙСКОЙ ФЕДЕРАЦИИ</t>
  </si>
  <si>
    <t xml:space="preserve">100 1 03 02231 01 0000 110
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</si>
  <si>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</si>
  <si>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100 1 03 02241 01 0000 110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</si>
  <si>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</si>
  <si>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100 1 03 02251 01 0000 110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</si>
  <si>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</si>
  <si>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100 1 03 02261 01 0000 110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</si>
  <si>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</si>
  <si>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</si>
  <si>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</si>
  <si>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</si>
  <si>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</si>
  <si>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</si>
  <si>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</si>
  <si>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</si>
  <si>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</si>
  <si>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</si>
  <si>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</si>
  <si>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</si>
  <si>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</si>
  <si>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</si>
  <si>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</si>
  <si>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>000 1 06 06033 05 0000 110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</si>
  <si>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</si>
  <si>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>000 1 06 06043 05 0000 110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</si>
  <si>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</si>
  <si>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</si>
  <si>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</si>
  <si>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</si>
  <si>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</si>
  <si>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</si>
  <si>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</si>
  <si>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</si>
  <si>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</si>
  <si>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000 1 08 07150 01 0000 110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</si>
  <si>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</si>
  <si>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</si>
  <si>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</si>
  <si>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</si>
  <si>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</si>
  <si>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</si>
  <si>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</si>
  <si>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</si>
  <si>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</si>
  <si>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</si>
  <si>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</si>
  <si>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</si>
  <si>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</si>
  <si>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</si>
  <si>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</si>
  <si>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000 112 0000000 0000 000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</si>
  <si>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</si>
  <si>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</si>
  <si>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</si>
  <si>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Плата за размещение отходов производства и потребления
</t>
  </si>
  <si>
    <t>000 113 00000 00 0000 000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</si>
  <si>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</si>
  <si>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</si>
  <si>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</si>
  <si>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</si>
  <si>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</si>
  <si>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</si>
  <si>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</si>
  <si>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</si>
  <si>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</si>
  <si>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</si>
  <si>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</si>
  <si>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</si>
  <si>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</si>
  <si>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</si>
  <si>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</si>
  <si>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701 1 13 01995 05 0036 130</t>
  </si>
  <si>
    <t>701 1 13 01995 05 0037 130</t>
  </si>
  <si>
    <t>701 1 13 01995 05 0039 130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</si>
  <si>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</si>
  <si>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</si>
  <si>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</si>
  <si>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</si>
  <si>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</si>
  <si>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</si>
  <si>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</si>
  <si>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</si>
  <si>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</si>
  <si>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</si>
  <si>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</si>
  <si>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</si>
  <si>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</si>
  <si>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</si>
  <si>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</si>
  <si>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</si>
  <si>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</si>
  <si>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</si>
  <si>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</si>
  <si>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</si>
  <si>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</si>
  <si>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</si>
  <si>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</si>
  <si>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</si>
  <si>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000 1 17 00000 00 0000 000</t>
  </si>
  <si>
    <t>ПРОЧИЕ НЕНАЛОГОВЫЕ ДОХОДЫ</t>
  </si>
  <si>
    <t>701 1 17 05050 05 0000 180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</si>
  <si>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</si>
  <si>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</si>
  <si>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</si>
  <si>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</si>
  <si>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</si>
  <si>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т.ч.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</si>
  <si>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</si>
  <si>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</si>
  <si>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Субсидия на  организацию отдыха детей в каникулярное время </t>
  </si>
  <si>
    <t>701 2 02 02999 05 6233 151</t>
  </si>
  <si>
    <t>Создание и развитие инфраструктцры поддержки субьектов малого предпринимательства бизнес-инкубатор</t>
  </si>
  <si>
    <t>701 2 02 29999 05 6235 151</t>
  </si>
  <si>
    <t>Субсидия на эксплуатацию и содержание сооружений инженерной защиты</t>
  </si>
  <si>
    <t>701 2 02 02999 05 6242 151</t>
  </si>
  <si>
    <t>Содействие во внедрении материалов, оборудования, технологий имеющих высокую энергетическую эффективность</t>
  </si>
  <si>
    <t>701 2 02 30000 00 0000 150</t>
  </si>
  <si>
    <t>Субвенции бюджетам субъектов Российской Федерации и муниципальных образований, в т.ч.</t>
  </si>
  <si>
    <t>Субвенция на 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</si>
  <si>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701 2 02 30024 05 6327 150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</si>
  <si>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</si>
  <si>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</si>
  <si>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</si>
  <si>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</si>
  <si>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</si>
  <si>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</si>
  <si>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701 2 19 05000 05 0000 151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</si>
  <si>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</si>
  <si>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</si>
  <si>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налоговые</t>
  </si>
  <si>
    <t>неналоговые</t>
  </si>
  <si>
    <t>собственные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</si>
  <si>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</si>
  <si>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</si>
  <si>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твердых коммунальных отходов</t>
  </si>
  <si>
    <t>Прочие доходы от оказания платных услуг (работ) получателями средств бюджетов муниципальных районов  (ДОБ "АЛМАЗ")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</si>
  <si>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2022 год и на плановый период 2023 и 2024 годов</t>
  </si>
  <si>
    <t>Сумма на 2024 год</t>
  </si>
  <si>
    <t>701 1 13 01995 05 0018 130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</si>
  <si>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</si>
  <si>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</si>
  <si>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182 1 05 01050 01 0000 110</t>
  </si>
  <si>
    <t>Минимальный налог, зачисляемый в бюджеты субъектов Российской Федерации</t>
  </si>
  <si>
    <t>048 1 12 01010 01 6000 120</t>
  </si>
  <si>
    <t>048 1 12 01030 01 6000 120</t>
  </si>
  <si>
    <t>048 1 12 01041 01 6000 120</t>
  </si>
  <si>
    <t>048 1 12 01042 01 6000 120</t>
  </si>
  <si>
    <t>048 1 12 01070 01 6000 120</t>
  </si>
  <si>
    <t>701 114 02053 05 0000 410</t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</si>
  <si>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</si>
  <si>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</si>
  <si>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</si>
  <si>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</si>
  <si>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</si>
  <si>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</si>
  <si>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</si>
  <si>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</si>
  <si>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</si>
  <si>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</si>
  <si>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</si>
  <si>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</si>
  <si>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Развитие дошкольного образования</t>
  </si>
  <si>
    <t>1220100000</t>
  </si>
  <si>
    <t>Развитие общего образования</t>
  </si>
  <si>
    <t>1220200000</t>
  </si>
  <si>
    <t>Предоставление субсидий бюджетным, автономным учреждениям и иным некоммерческим организациям</t>
  </si>
  <si>
    <t>Воспитание и дополнительное образование</t>
  </si>
  <si>
    <t>1240000000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</si>
  <si>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</si>
  <si>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</si>
  <si>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</si>
  <si>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</si>
  <si>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</si>
  <si>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 xml:space="preserve">Обеспечение прав граждан на участие в культурной жизни </t>
  </si>
  <si>
    <t>1020000000</t>
  </si>
  <si>
    <t>1030000000</t>
  </si>
  <si>
    <t>Модернизация и укрепление ресурсов  учреждений культуры и искусства</t>
  </si>
  <si>
    <t>1070000000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</si>
  <si>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</si>
  <si>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</si>
  <si>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2600000000</t>
  </si>
  <si>
    <t>2630000000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</si>
  <si>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</si>
  <si>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2500000000</t>
  </si>
  <si>
    <t xml:space="preserve">Обеспечивающая подпрограмма </t>
  </si>
  <si>
    <t>2510000000</t>
  </si>
  <si>
    <t>100</t>
  </si>
  <si>
    <t>800</t>
  </si>
  <si>
    <t>Развитие транспортного комплекса муниципального образования  «Ленский район»</t>
  </si>
  <si>
    <t>1800000000</t>
  </si>
  <si>
    <t>Воздушный транспорт</t>
  </si>
  <si>
    <t>1830000000</t>
  </si>
  <si>
    <t>Водный транспорт</t>
  </si>
  <si>
    <t>1840000000</t>
  </si>
  <si>
    <t>Дорожное хозяйство</t>
  </si>
  <si>
    <t>1850000000</t>
  </si>
  <si>
    <t>1100000000</t>
  </si>
  <si>
    <t>1110000000</t>
  </si>
  <si>
    <t>Создание условий для развития потенциала подрастающего поколения, молодежи</t>
  </si>
  <si>
    <t>1120000000</t>
  </si>
  <si>
    <t>Воспитание патриотизма у граждан -национальная идея государства</t>
  </si>
  <si>
    <t>1130000000</t>
  </si>
  <si>
    <t>Семейная политика</t>
  </si>
  <si>
    <t>1150000000</t>
  </si>
  <si>
    <t>1160000000</t>
  </si>
  <si>
    <t>200</t>
  </si>
  <si>
    <t>Социальная поддержка граждан Ленского района</t>
  </si>
  <si>
    <t>1500000000</t>
  </si>
  <si>
    <t>Меры социальной поддержки отдельных категорий граждан</t>
  </si>
  <si>
    <t>1530000000</t>
  </si>
  <si>
    <t>300</t>
  </si>
  <si>
    <t xml:space="preserve">Охрана труда в Ленском районе </t>
  </si>
  <si>
    <t>1540000000</t>
  </si>
  <si>
    <t>Обеспечение качественным жильем и повышение качества жилищно-коммунальных услуг в Ленском районе</t>
  </si>
  <si>
    <t>2000000000</t>
  </si>
  <si>
    <t>Развитие градостроительного комплекса Ленского района</t>
  </si>
  <si>
    <t>2020000000</t>
  </si>
  <si>
    <t>Обеспечение граждан доступным и комфортным жильем</t>
  </si>
  <si>
    <t>2030000000</t>
  </si>
  <si>
    <t>400</t>
  </si>
  <si>
    <t>Управление муниципальной собственностью МО "Ленский район" РС (Я)</t>
  </si>
  <si>
    <t>3100000000</t>
  </si>
  <si>
    <t>3110000000</t>
  </si>
  <si>
    <t>Развитие системы управления недвижимостью</t>
  </si>
  <si>
    <t>3120000000</t>
  </si>
  <si>
    <t>Капитальные вложения в объекты государственной (муниципальной) собственности</t>
  </si>
  <si>
    <t>Развитие системы управления земельными ресурсами</t>
  </si>
  <si>
    <t>3140000000</t>
  </si>
  <si>
    <t>Развитие физической культуры и спорта в Ленском районе</t>
  </si>
  <si>
    <t>1400000000</t>
  </si>
  <si>
    <t>1410000000</t>
  </si>
  <si>
    <t>Развитие массового спорта</t>
  </si>
  <si>
    <t>1420000000</t>
  </si>
  <si>
    <t>Развитие детско - юношеского спорта</t>
  </si>
  <si>
    <t>1450000000</t>
  </si>
  <si>
    <t>1700000000</t>
  </si>
  <si>
    <t>Повышение эффективности работы  в сфере профилактики правонарушений</t>
  </si>
  <si>
    <t>1710000000</t>
  </si>
  <si>
    <t>Развитие гражданского общества и гармонизация межэтнических отношений в Ленском районе</t>
  </si>
  <si>
    <t>Содействие развитию гражданского общества</t>
  </si>
  <si>
    <t>Обеспечение экологической безопасности на территории муниципального образования</t>
  </si>
  <si>
    <t>Экологическое образование и просвещение населения на территории муниципального образования</t>
  </si>
  <si>
    <t xml:space="preserve">Развитие здравоохранения в Ленском районе </t>
  </si>
  <si>
    <t>Совершенствование оказания медицинский помощи, включая профилактику заболеваний и формирование здорового образа жизни</t>
  </si>
  <si>
    <t>Комплексное развитие сельских территорий Ленского района</t>
  </si>
  <si>
    <t>Создание и развитие инфраструктуры на сельских территориях</t>
  </si>
  <si>
    <t>1030100000</t>
  </si>
  <si>
    <t>1030200000</t>
  </si>
  <si>
    <t>25К0000000</t>
  </si>
  <si>
    <t>Рост производства продукции отраслей агропромышленного комплекса</t>
  </si>
  <si>
    <t>к проекту решения Районного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</si>
  <si>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</si>
  <si>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</si>
  <si>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</si>
  <si>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</si>
  <si>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</si>
  <si>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</si>
  <si>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</si>
  <si>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</si>
  <si>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</si>
  <si>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</si>
  <si>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</si>
  <si>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</si>
  <si>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</si>
  <si>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</si>
  <si>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</si>
  <si>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</si>
  <si>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</si>
  <si>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</si>
  <si>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</si>
  <si>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</si>
  <si>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</si>
  <si>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</si>
  <si>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</si>
  <si>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</si>
  <si>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</si>
  <si>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Резервные фонды</t>
  </si>
  <si>
    <t>11</t>
  </si>
  <si>
    <t>Прочие непрограммные расходы</t>
  </si>
  <si>
    <t>9950000000</t>
  </si>
  <si>
    <t>Резервный фонд местной администрации</t>
  </si>
  <si>
    <t>9950071100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</si>
  <si>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</si>
  <si>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</si>
  <si>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</si>
  <si>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600</t>
  </si>
  <si>
    <t>Расходы на исполнение судебных решений о взыскании из бюджета по искам юридических и физических лиц</t>
  </si>
  <si>
    <t>9950091017</t>
  </si>
  <si>
    <t>Выполнение других обязательств муниципальных образований</t>
  </si>
  <si>
    <t>9950091019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</si>
  <si>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</si>
  <si>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</si>
  <si>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</si>
  <si>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</si>
  <si>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</si>
  <si>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</si>
  <si>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</si>
  <si>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</si>
  <si>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</si>
  <si>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</si>
  <si>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Связь и информатика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</si>
  <si>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</si>
  <si>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</si>
  <si>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</si>
  <si>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</si>
  <si>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</si>
  <si>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</si>
  <si>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</si>
  <si>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</si>
  <si>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</si>
  <si>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</si>
  <si>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</si>
  <si>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</si>
  <si>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</si>
  <si>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</si>
  <si>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</si>
  <si>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</si>
  <si>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</si>
  <si>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</si>
  <si>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</si>
  <si>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</si>
  <si>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</si>
  <si>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</si>
  <si>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</si>
  <si>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</si>
  <si>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</si>
  <si>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</si>
  <si>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</si>
  <si>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</si>
  <si>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</si>
  <si>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</si>
  <si>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</si>
  <si>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</si>
  <si>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</si>
  <si>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</si>
  <si>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</si>
  <si>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</si>
  <si>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</si>
  <si>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</si>
  <si>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</si>
  <si>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rFont val="Arial"/>
        <family val="2"/>
        <charset val="204"/>
      </rPr>
      <t>(без федеральных и республиканских средств)</t>
    </r>
  </si>
  <si>
    <t>9950091013</t>
  </si>
  <si>
    <t>Расходы в области культурно-досуговой деятельности</t>
  </si>
  <si>
    <t>Проведение выборов и референдумов глав</t>
  </si>
  <si>
    <t>9930010040</t>
  </si>
  <si>
    <t>9930000000</t>
  </si>
  <si>
    <t>Проведение выборов и референдумов</t>
  </si>
  <si>
    <t>Обеспечение проведения выборов и референдумов</t>
  </si>
  <si>
    <t>Резервные фонды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</si>
  <si>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</si>
  <si>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</si>
  <si>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</si>
  <si>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</si>
  <si>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Развитие предпринимательства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</si>
  <si>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</si>
  <si>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</si>
  <si>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</si>
  <si>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Особо охраняемые природные территории и биологические ресурсы</t>
  </si>
  <si>
    <t>Молодежная политика и оздоровление детей</t>
  </si>
  <si>
    <t>Реализация молодежной политики и патриотического воспитания граждан в Ленском районе</t>
  </si>
  <si>
    <t>Мотивирование населения на ведение трезвого здорового образа жизни.</t>
  </si>
  <si>
    <t xml:space="preserve">Развитие образования в Ленском районе  </t>
  </si>
  <si>
    <t>Обеспечивающая программа</t>
  </si>
  <si>
    <t>Сохранение культурного и исторического наследия, расширение доступа населения к культурным ценностям и информаци</t>
  </si>
  <si>
    <t>3400000000</t>
  </si>
  <si>
    <t>3440000000</t>
  </si>
  <si>
    <t>Другие вопросы в области культуры, кинематографии</t>
  </si>
  <si>
    <t>3200000000</t>
  </si>
  <si>
    <t>3210000000</t>
  </si>
  <si>
    <t>Реализация молодежной, семейной политики и патриотического воспитания граждан в Ленском районе</t>
  </si>
  <si>
    <t xml:space="preserve">Профилактика правонарушений в Ленском районе </t>
  </si>
  <si>
    <t>Массовый спорт</t>
  </si>
  <si>
    <t>Администрация муниципального образования "Ленский район" Республики Саха (Якутия)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</si>
  <si>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rFont val="Arial"/>
        <family val="2"/>
        <charset val="204"/>
      </rPr>
      <t>(без федеральных и республиканских средств)</t>
    </r>
    <r>
      <rPr>
        <b/>
        <sz val="12"/>
        <rFont val="Arial"/>
        <family val="2"/>
        <charset val="204"/>
      </rPr>
      <t xml:space="preserve">
</t>
    </r>
  </si>
  <si>
    <t>Вед.</t>
  </si>
  <si>
    <t xml:space="preserve">Ведомственная структура расходов  бюджета муниципального образования "Ленский район" на 2022 год и плановый период на 2023 и 2024 годов 
(без федеральных и республиканских средств)
</t>
  </si>
  <si>
    <t>4.</t>
  </si>
  <si>
    <t>5.</t>
  </si>
  <si>
    <t>Муниципальные ценные бумаги</t>
  </si>
  <si>
    <t>Прочие источники внутреннего финансирования дефицита</t>
  </si>
  <si>
    <t>погашение задолженности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</si>
  <si>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</si>
  <si>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</si>
  <si>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</si>
  <si>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</si>
  <si>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</si>
  <si>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</si>
  <si>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</si>
  <si>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</si>
  <si>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</si>
  <si>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</si>
  <si>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</si>
  <si>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</si>
  <si>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</si>
  <si>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</si>
  <si>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</si>
  <si>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</si>
  <si>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</si>
  <si>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</si>
  <si>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</si>
  <si>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</si>
  <si>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</si>
  <si>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</si>
  <si>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</si>
  <si>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</si>
  <si>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</si>
  <si>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</si>
  <si>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</si>
  <si>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</si>
  <si>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</si>
  <si>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</si>
  <si>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</si>
  <si>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</si>
  <si>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</si>
  <si>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</si>
  <si>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</si>
  <si>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</si>
  <si>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</si>
  <si>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</si>
  <si>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</si>
  <si>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</si>
  <si>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</si>
  <si>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</si>
  <si>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</si>
  <si>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</si>
  <si>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 xml:space="preserve">Источники финансирования дефицита бюджета муниципального образования "Ленский район" на 2022 год и плановый период 2023 и 2024 годов  </t>
  </si>
  <si>
    <t>Приложение № 2</t>
  </si>
  <si>
    <t>Приложение № 4</t>
  </si>
  <si>
    <t>Приложение № 5</t>
  </si>
  <si>
    <t>Библиотечное дело</t>
  </si>
  <si>
    <t>Музейное дело</t>
  </si>
  <si>
    <t>99500Р1012</t>
  </si>
  <si>
    <t>Единовременная выплата к знаку отличия "За заслуги перед Ленским районом"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</si>
  <si>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</si>
  <si>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</si>
  <si>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Ежемесячное денежное вознаграждение Почетным гражданам Ленского района</t>
  </si>
  <si>
    <t>99500Р1011</t>
  </si>
  <si>
    <t>Приложение № 1</t>
  </si>
  <si>
    <t>701 2 02 30024 05 6336 150</t>
  </si>
  <si>
    <t>701 2 02 25511 05 0000 150</t>
  </si>
  <si>
    <t>Субсидии на проведение комплексных кадастровых работ в рамках федеральной целевой программы "Национальная система пространственных данных"</t>
  </si>
  <si>
    <t>701 2 02 20000 00 0000 150</t>
  </si>
  <si>
    <t>Дотации бюджетам муниципальных районов на поддержку мер по обеспечению сбалансированности бюджетов</t>
  </si>
  <si>
    <t>701 2 02 15002 05 0000 150</t>
  </si>
  <si>
    <t>701 2 02 15000 00 0000 150</t>
  </si>
  <si>
    <t>701 2 02 15001 05 0000 150</t>
  </si>
  <si>
    <t>701 2 02 29999 05 6201 150</t>
  </si>
  <si>
    <t>701 2 02 20077 05 6421 150</t>
  </si>
  <si>
    <t xml:space="preserve">Софинансирование капитальных вложений в объекты общего образования муниципальной собственностии (или) приобретения объектов недвижимого имущества в муниципальную собственность для организаций общего образования </t>
  </si>
  <si>
    <t>701 2 02 25304 05 0000 150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</si>
  <si>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</si>
  <si>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701 2 02 25497 05 0000 150</t>
  </si>
  <si>
    <t xml:space="preserve">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</si>
  <si>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701 2 02 30024 05 6301 150</t>
  </si>
  <si>
    <t>701 2 02 30024 05 6302 150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</si>
  <si>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</si>
  <si>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701 2 02 30024 05 6303 150</t>
  </si>
  <si>
    <t>Субвенция на 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</si>
  <si>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701 2 02 30024 05 6311 150</t>
  </si>
  <si>
    <t>Субвенция на выполнение отдельных государственных полномочий по опеке и попечительству в отношении несовершеннолетних</t>
  </si>
  <si>
    <t>701 2 02 30024 05 6325 150</t>
  </si>
  <si>
    <t>Субвенции бюджетам муниципальных районов на выполнение передаваемых полномочий субъектов Российской Федерации, связанные с обеспечением осуществления отдельных государственных полномочий по поддержке сельскохозяйственного производства</t>
  </si>
  <si>
    <t>701 2 02 30024 05 6326 150</t>
  </si>
  <si>
    <t>Субвенция на 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</si>
  <si>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701 2 02 30024 05 6329 150</t>
  </si>
  <si>
    <t>Субвенции бюджетам муниципальных районов на выполнение передаваемых полномочий субъектов Российской Федерации (выполнение  отдельных государственных полномочий в области охраны труда)</t>
  </si>
  <si>
    <t>701 2 02 30024 05 6330 150</t>
  </si>
  <si>
    <t>Субвенция на выполнение отдельных государственных полномочий по созданию административных комиссий</t>
  </si>
  <si>
    <t>701 2 02 30024 05 6331 150</t>
  </si>
  <si>
    <t>Субвенция на выполнение отдельных государственных полномочий по исполнению функций комиссий по делам несовершеннолетних и защите их прав</t>
  </si>
  <si>
    <t>701 2 02 30024 05 6332 150</t>
  </si>
  <si>
    <t>701 2 02 30024 05 6333 150</t>
  </si>
  <si>
    <t>Выполнение отдельных государственных полномочий по комплектованию, хранению, учету и использованию документов Архивного фонда РС(Я)</t>
  </si>
  <si>
    <t>701 2 02 30024 05 6335 150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</si>
  <si>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</si>
  <si>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Выполнение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 общих для человека и животных</t>
  </si>
  <si>
    <t>701 2 02 30024 05 6337 150</t>
  </si>
  <si>
    <t>701 2 02 30024 05 6338 150</t>
  </si>
  <si>
    <t>Субвенция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</si>
  <si>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701 2 02 30024 05 6340 150</t>
  </si>
  <si>
    <t>Единая субвенция  на выполнение отдельных государственных  полномочий  по предоставлению мер социальной поддержки детям сиротам и детям оставшимся без попечения родителей</t>
  </si>
  <si>
    <t>701 2 02 30024 05 6345 150</t>
  </si>
  <si>
    <t>Субвенция на 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</si>
  <si>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701 2 02 30024 05 6346 150</t>
  </si>
  <si>
    <t>Субвенция на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</si>
  <si>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701 2 02 30024 05 6347 150</t>
  </si>
  <si>
    <t>Субвенция на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</si>
  <si>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701 2 02 30024 05 6348 150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</si>
  <si>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образовательные программы</t>
  </si>
  <si>
    <t>701 2 02 30029 05 6305 150</t>
  </si>
  <si>
    <t>701 2 02 35120 05 0000 150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</si>
  <si>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</si>
  <si>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701 2 02 35303 05 0000 150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</si>
  <si>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общегообразования, в тос числе адаптивные основные общеобразовательные прораммы</t>
  </si>
  <si>
    <t>Субсидии бюджетам муниципальных районов на реализацию мероприятий по обеспечению жильем молодых семей</t>
  </si>
  <si>
    <t>701 1 13 02995 05 0000 100</t>
  </si>
  <si>
    <t>Прочие доходы от компенсации затрат бюджетов муниципальных районов</t>
  </si>
  <si>
    <t>701 2 02 29999 05 6212 150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</si>
  <si>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</si>
  <si>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Доходы бюджетов муниципальных районов от возврата бюджетными учреждениями остатков субсидий прошлых лет</t>
  </si>
  <si>
    <t>701 2 18 05010 05 0000 150</t>
  </si>
  <si>
    <t>701 2 07 05030 05 0000 150</t>
  </si>
  <si>
    <t>701 2 07 00000 00 0000 150</t>
  </si>
  <si>
    <t>701 2 18 60010 05 0000 150</t>
  </si>
  <si>
    <t>Прочие доходы от оказания платных услуг (работ) получателями средств бюджетов муниципальных районов (МКОО ДО "ЦДО "Сэргэ")</t>
  </si>
  <si>
    <t>701 1 13 01995 05 0044 130</t>
  </si>
  <si>
    <t xml:space="preserve">  Субсидия из государственного бюджета Республики Саха (Якутия) на разработку и внесение изменений в документы территориального планирования, градостроительного зонирования, планировки территорий</t>
  </si>
  <si>
    <t>701 2 02 02999 05 6221 150</t>
  </si>
  <si>
    <t>Прочие субсидии бюджетам муниципальных районов на софинансирование реализации мероприятий муниципальных программ (подпрограмм) развития кормопроизводства</t>
  </si>
  <si>
    <t>701 2 02 02999 05 6269 150</t>
  </si>
  <si>
    <t>ДОХОДЫ ОТ ОКАЗАНИЯ ПЛАТНЫХ УСЛУГ  И КОМПЕНСАЦИИ ЗАТРАТ ГОСУДАРСТВА</t>
  </si>
  <si>
    <t xml:space="preserve">  ШТРАФЫ, САНКЦИИ, ВОЗМЕЩЕНИЕ УЩЕРБА</t>
  </si>
  <si>
    <t>701 1 14 00000 00 0000 000</t>
  </si>
  <si>
    <t>701 1 14 06013 13 0000 430</t>
  </si>
  <si>
    <t>701 1 14 06013 05 0000 430</t>
  </si>
  <si>
    <t>7011 14 06000 05 0000 430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</si>
  <si>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</si>
  <si>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</si>
  <si>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701 1 16 07010 05 0000 140</t>
  </si>
  <si>
    <t>701 1 16 00000 00 0000 000</t>
  </si>
  <si>
    <t>701 1 1610123 01 0000 140</t>
  </si>
  <si>
    <t>НАЦИОНАЛЬНАЯ ОБОРОНА</t>
  </si>
  <si>
    <t>Мобилизационная и вневойсковая подготовка</t>
  </si>
  <si>
    <t>Мероприятия по проведению мобилизации</t>
  </si>
  <si>
    <t>9950011030</t>
  </si>
  <si>
    <t xml:space="preserve"> № 1-6</t>
  </si>
  <si>
    <t xml:space="preserve"> от 17 ноября 2022 г.</t>
  </si>
  <si>
    <t>№ 1-6</t>
  </si>
  <si>
    <t>от 17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</si>
</sst>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2"/>
      <name val="Arial Cyr"/>
      <charset val="204"/>
    </font>
    <font>
      <sz val="10"/>
      <color rgb="FF000000"/>
      <name val="Arial Cyr"/>
    </font>
    <font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11">
    <xf numFmtId="0" fontId="0" fillId="0" borderId="0"/>
    <xf numFmtId="0" fontId="6" fillId="0" borderId="0"/>
    <xf numFmtId="0" fontId="6" fillId="0" borderId="0"/>
    <xf numFmtId="4" fontId="15" fillId="2" borderId="3">
      <alignment horizontal="right" vertical="top" shrinkToFit="1"/>
    </xf>
    <xf numFmtId="1" fontId="17" fillId="0" borderId="3">
      <alignment horizontal="center" vertical="top" shrinkToFit="1"/>
    </xf>
    <xf numFmtId="0" fontId="1" fillId="3" borderId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4" fillId="7" borderId="8" applyNumberFormat="0" applyAlignment="0" applyProtection="0"/>
    <xf numFmtId="0" fontId="25" fillId="8" borderId="9" applyNumberFormat="0" applyAlignment="0" applyProtection="0"/>
    <xf numFmtId="0" fontId="26" fillId="8" borderId="8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0" fillId="9" borderId="11" applyNumberFormat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10" borderId="12" applyNumberFormat="0" applyFont="0" applyAlignment="0" applyProtection="0"/>
    <xf numFmtId="0" fontId="35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1" fillId="10" borderId="12" applyNumberFormat="0" applyFont="0" applyAlignment="0" applyProtection="0"/>
    <xf numFmtId="9" fontId="22" fillId="0" borderId="0" applyFont="0" applyFill="0" applyBorder="0" applyAlignment="0" applyProtection="0"/>
    <xf numFmtId="49" fontId="37" fillId="0" borderId="3">
      <alignment horizontal="center" vertical="top" shrinkToFit="1"/>
    </xf>
    <xf numFmtId="4" fontId="37" fillId="0" borderId="3">
      <alignment horizontal="right" vertical="top" shrinkToFit="1"/>
    </xf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7" fillId="35" borderId="0"/>
    <xf numFmtId="0" fontId="37" fillId="0" borderId="0">
      <alignment horizontal="left" wrapText="1"/>
    </xf>
    <xf numFmtId="0" fontId="37" fillId="0" borderId="0">
      <alignment wrapText="1"/>
    </xf>
    <xf numFmtId="0" fontId="38" fillId="0" borderId="0">
      <alignment horizontal="center" wrapText="1"/>
    </xf>
    <xf numFmtId="0" fontId="38" fillId="0" borderId="0">
      <alignment horizontal="center"/>
    </xf>
    <xf numFmtId="0" fontId="37" fillId="0" borderId="0">
      <alignment horizontal="right"/>
    </xf>
    <xf numFmtId="0" fontId="37" fillId="35" borderId="14"/>
    <xf numFmtId="0" fontId="37" fillId="0" borderId="3">
      <alignment horizontal="center" vertical="center" wrapText="1"/>
    </xf>
    <xf numFmtId="0" fontId="37" fillId="35" borderId="15"/>
    <xf numFmtId="49" fontId="37" fillId="0" borderId="3">
      <alignment horizontal="center" vertical="top" shrinkToFit="1"/>
    </xf>
    <xf numFmtId="49" fontId="37" fillId="0" borderId="3">
      <alignment horizontal="left" vertical="top" wrapText="1" indent="2"/>
    </xf>
    <xf numFmtId="0" fontId="37" fillId="35" borderId="16"/>
    <xf numFmtId="0" fontId="15" fillId="0" borderId="3">
      <alignment horizontal="left"/>
    </xf>
    <xf numFmtId="49" fontId="15" fillId="0" borderId="3">
      <alignment horizontal="left" vertical="top" shrinkToFit="1"/>
    </xf>
    <xf numFmtId="0" fontId="37" fillId="35" borderId="16"/>
    <xf numFmtId="0" fontId="37" fillId="0" borderId="0"/>
    <xf numFmtId="0" fontId="37" fillId="0" borderId="3">
      <alignment horizontal="center" vertical="top" wrapText="1"/>
    </xf>
    <xf numFmtId="0" fontId="37" fillId="0" borderId="0">
      <alignment horizontal="left" wrapText="1"/>
    </xf>
    <xf numFmtId="0" fontId="37" fillId="0" borderId="3">
      <alignment horizontal="center" vertical="center" wrapText="1"/>
    </xf>
    <xf numFmtId="0" fontId="37" fillId="0" borderId="3">
      <alignment horizontal="center" vertical="center" wrapText="1"/>
    </xf>
    <xf numFmtId="49" fontId="15" fillId="0" borderId="3">
      <alignment horizontal="left" vertical="top" shrinkToFit="1"/>
    </xf>
    <xf numFmtId="4" fontId="15" fillId="10" borderId="3">
      <alignment horizontal="right" vertical="top" shrinkToFit="1"/>
    </xf>
    <xf numFmtId="4" fontId="37" fillId="0" borderId="3">
      <alignment horizontal="right" vertical="top" shrinkToFit="1"/>
    </xf>
    <xf numFmtId="0" fontId="37" fillId="0" borderId="3">
      <alignment horizontal="center" vertical="center" wrapText="1"/>
    </xf>
    <xf numFmtId="4" fontId="15" fillId="36" borderId="3">
      <alignment horizontal="right" vertical="top" shrinkToFit="1"/>
    </xf>
    <xf numFmtId="0" fontId="37" fillId="0" borderId="0">
      <alignment horizontal="left" wrapText="1"/>
    </xf>
    <xf numFmtId="0" fontId="37" fillId="0" borderId="0">
      <alignment horizontal="left" wrapText="1"/>
    </xf>
    <xf numFmtId="10" fontId="37" fillId="0" borderId="3">
      <alignment horizontal="right" vertical="top" shrinkToFit="1"/>
    </xf>
    <xf numFmtId="10" fontId="37" fillId="0" borderId="3">
      <alignment horizontal="center" vertical="top" shrinkToFit="1"/>
    </xf>
    <xf numFmtId="10" fontId="15" fillId="10" borderId="3">
      <alignment horizontal="right" vertical="top" shrinkToFit="1"/>
    </xf>
    <xf numFmtId="10" fontId="15" fillId="36" borderId="3">
      <alignment horizontal="center" vertical="top" shrinkToFit="1"/>
    </xf>
    <xf numFmtId="0" fontId="38" fillId="0" borderId="0">
      <alignment horizontal="center" wrapText="1"/>
    </xf>
    <xf numFmtId="0" fontId="38" fillId="0" borderId="0">
      <alignment horizontal="center" wrapText="1"/>
    </xf>
    <xf numFmtId="0" fontId="38" fillId="0" borderId="0">
      <alignment horizontal="center"/>
    </xf>
    <xf numFmtId="0" fontId="38" fillId="0" borderId="0">
      <alignment horizontal="center"/>
    </xf>
    <xf numFmtId="0" fontId="15" fillId="0" borderId="3">
      <alignment vertical="top" wrapText="1"/>
    </xf>
    <xf numFmtId="0" fontId="37" fillId="0" borderId="3">
      <alignment horizontal="left" vertical="top" wrapText="1"/>
    </xf>
    <xf numFmtId="4" fontId="15" fillId="2" borderId="3">
      <alignment horizontal="right" vertical="top" shrinkToFit="1"/>
    </xf>
    <xf numFmtId="10" fontId="15" fillId="2" borderId="3">
      <alignment horizontal="right" vertical="top" shrinkToFit="1"/>
    </xf>
    <xf numFmtId="10" fontId="15" fillId="2" borderId="3">
      <alignment horizontal="center" vertical="top" shrinkToFit="1"/>
    </xf>
    <xf numFmtId="0" fontId="41" fillId="0" borderId="0"/>
    <xf numFmtId="0" fontId="37" fillId="0" borderId="0"/>
    <xf numFmtId="0" fontId="37" fillId="0" borderId="0"/>
    <xf numFmtId="0" fontId="37" fillId="37" borderId="0"/>
    <xf numFmtId="0" fontId="37" fillId="37" borderId="14"/>
    <xf numFmtId="0" fontId="37" fillId="37" borderId="15"/>
    <xf numFmtId="0" fontId="37" fillId="0" borderId="3">
      <alignment horizontal="center" vertical="top" wrapText="1"/>
    </xf>
    <xf numFmtId="4" fontId="37" fillId="0" borderId="3">
      <alignment horizontal="right" vertical="top" shrinkToFit="1"/>
    </xf>
    <xf numFmtId="10" fontId="37" fillId="0" borderId="3">
      <alignment horizontal="center" vertical="top" shrinkToFit="1"/>
    </xf>
    <xf numFmtId="0" fontId="37" fillId="37" borderId="16"/>
    <xf numFmtId="49" fontId="15" fillId="0" borderId="3">
      <alignment horizontal="left" vertical="top" shrinkToFit="1"/>
    </xf>
    <xf numFmtId="4" fontId="15" fillId="36" borderId="3">
      <alignment horizontal="right" vertical="top" shrinkToFit="1"/>
    </xf>
    <xf numFmtId="10" fontId="15" fillId="36" borderId="3">
      <alignment horizontal="center" vertical="top" shrinkToFit="1"/>
    </xf>
    <xf numFmtId="0" fontId="37" fillId="0" borderId="0"/>
    <xf numFmtId="0" fontId="37" fillId="37" borderId="14">
      <alignment horizontal="left"/>
    </xf>
    <xf numFmtId="0" fontId="37" fillId="0" borderId="3">
      <alignment horizontal="left" vertical="top" wrapText="1"/>
    </xf>
    <xf numFmtId="4" fontId="15" fillId="2" borderId="3">
      <alignment horizontal="right" vertical="top" shrinkToFit="1"/>
    </xf>
    <xf numFmtId="10" fontId="15" fillId="2" borderId="3">
      <alignment horizontal="center" vertical="top" shrinkToFit="1"/>
    </xf>
    <xf numFmtId="0" fontId="37" fillId="37" borderId="15">
      <alignment horizontal="left"/>
    </xf>
    <xf numFmtId="0" fontId="37" fillId="37" borderId="16">
      <alignment horizontal="left"/>
    </xf>
    <xf numFmtId="0" fontId="37" fillId="37" borderId="0">
      <alignment horizontal="left"/>
    </xf>
    <xf numFmtId="43" fontId="2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4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justify" vertical="top" wrapText="1"/>
    </xf>
    <xf numFmtId="0" fontId="4" fillId="0" borderId="1" xfId="2" applyFont="1" applyFill="1" applyBorder="1" applyAlignment="1">
      <alignment horizontal="justify" vertical="top" wrapText="1"/>
    </xf>
    <xf numFmtId="49" fontId="11" fillId="0" borderId="1" xfId="2" applyNumberFormat="1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left" vertical="top" wrapText="1"/>
    </xf>
    <xf numFmtId="4" fontId="11" fillId="0" borderId="1" xfId="2" applyNumberFormat="1" applyFont="1" applyFill="1" applyBorder="1" applyAlignment="1" applyProtection="1">
      <alignment horizontal="right" vertical="top" shrinkToFit="1"/>
      <protection locked="0"/>
    </xf>
    <xf numFmtId="0" fontId="11" fillId="0" borderId="4" xfId="2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horizontal="left" vertical="top" shrinkToFit="1"/>
    </xf>
    <xf numFmtId="49" fontId="11" fillId="0" borderId="1" xfId="2" applyNumberFormat="1" applyFont="1" applyFill="1" applyBorder="1" applyAlignment="1">
      <alignment horizontal="left" vertical="top" shrinkToFit="1"/>
    </xf>
    <xf numFmtId="4" fontId="18" fillId="0" borderId="1" xfId="0" applyNumberFormat="1" applyFont="1" applyFill="1" applyBorder="1" applyAlignment="1">
      <alignment vertical="center"/>
    </xf>
    <xf numFmtId="49" fontId="11" fillId="0" borderId="1" xfId="2" applyNumberFormat="1" applyFont="1" applyFill="1" applyBorder="1" applyAlignment="1">
      <alignment vertical="top" shrinkToFit="1"/>
    </xf>
    <xf numFmtId="4" fontId="11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4" fillId="0" borderId="1" xfId="2" applyNumberFormat="1" applyFont="1" applyFill="1" applyBorder="1" applyAlignment="1" applyProtection="1">
      <alignment horizontal="right" vertical="top" shrinkToFit="1"/>
      <protection locked="0"/>
    </xf>
    <xf numFmtId="0" fontId="8" fillId="0" borderId="0" xfId="0" applyFont="1"/>
    <xf numFmtId="0" fontId="16" fillId="0" borderId="1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/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3" fillId="0" borderId="0" xfId="0" applyFont="1" applyFill="1"/>
    <xf numFmtId="4" fontId="43" fillId="0" borderId="0" xfId="0" applyNumberFormat="1" applyFont="1" applyFill="1"/>
    <xf numFmtId="0" fontId="11" fillId="0" borderId="1" xfId="0" applyFont="1" applyFill="1" applyBorder="1" applyAlignment="1">
      <alignment wrapText="1" shrinkToFit="1"/>
    </xf>
    <xf numFmtId="49" fontId="11" fillId="0" borderId="1" xfId="0" applyNumberFormat="1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1" xfId="0" quotePrefix="1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wrapText="1" shrinkToFit="1"/>
    </xf>
    <xf numFmtId="0" fontId="45" fillId="0" borderId="0" xfId="0" applyFont="1" applyFill="1"/>
    <xf numFmtId="4" fontId="45" fillId="0" borderId="0" xfId="0" applyNumberFormat="1" applyFont="1" applyFill="1"/>
    <xf numFmtId="0" fontId="46" fillId="0" borderId="0" xfId="0" applyFont="1" applyFill="1"/>
    <xf numFmtId="4" fontId="46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/>
    <xf numFmtId="4" fontId="11" fillId="0" borderId="0" xfId="0" applyNumberFormat="1" applyFont="1" applyFill="1" applyAlignment="1">
      <alignment horizontal="right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 shrinkToFit="1"/>
    </xf>
    <xf numFmtId="4" fontId="4" fillId="0" borderId="1" xfId="0" applyNumberFormat="1" applyFont="1" applyFill="1" applyBorder="1"/>
    <xf numFmtId="49" fontId="11" fillId="0" borderId="1" xfId="242" applyNumberFormat="1" applyFont="1" applyFill="1" applyBorder="1" applyAlignment="1" applyProtection="1">
      <alignment horizontal="center" shrinkToFit="1"/>
      <protection locked="0"/>
    </xf>
    <xf numFmtId="49" fontId="4" fillId="0" borderId="1" xfId="242" applyNumberFormat="1" applyFont="1" applyFill="1" applyBorder="1" applyAlignment="1" applyProtection="1">
      <alignment horizontal="center" shrinkToFit="1"/>
      <protection locked="0"/>
    </xf>
    <xf numFmtId="49" fontId="11" fillId="0" borderId="1" xfId="0" applyNumberFormat="1" applyFont="1" applyFill="1" applyBorder="1" applyAlignment="1">
      <alignment horizontal="left" wrapText="1" shrinkToFit="1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shrinkToFit="1"/>
    </xf>
    <xf numFmtId="49" fontId="1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shrinkToFit="1"/>
    </xf>
    <xf numFmtId="4" fontId="4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center" shrinkToFit="1"/>
    </xf>
    <xf numFmtId="0" fontId="11" fillId="0" borderId="1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 applyAlignment="1">
      <alignment wrapText="1" shrinkToFit="1"/>
    </xf>
    <xf numFmtId="0" fontId="11" fillId="0" borderId="1" xfId="0" applyFont="1" applyFill="1" applyBorder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Fill="1"/>
    <xf numFmtId="3" fontId="13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/>
    <xf numFmtId="49" fontId="1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7" fillId="0" borderId="0" xfId="0" applyFont="1" applyFill="1"/>
    <xf numFmtId="4" fontId="16" fillId="0" borderId="1" xfId="0" applyNumberFormat="1" applyFont="1" applyFill="1" applyBorder="1" applyAlignment="1">
      <alignment horizontal="right" shrinkToFit="1"/>
    </xf>
    <xf numFmtId="0" fontId="48" fillId="0" borderId="0" xfId="0" applyFont="1" applyFill="1"/>
    <xf numFmtId="49" fontId="4" fillId="0" borderId="17" xfId="0" applyNumberFormat="1" applyFont="1" applyFill="1" applyBorder="1" applyAlignment="1">
      <alignment horizontal="left" vertical="center" wrapText="1" shrinkToFit="1"/>
    </xf>
    <xf numFmtId="0" fontId="49" fillId="0" borderId="0" xfId="0" applyFont="1" applyFill="1"/>
    <xf numFmtId="49" fontId="4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5" fillId="0" borderId="0" xfId="0" applyFont="1" applyFill="1"/>
    <xf numFmtId="49" fontId="11" fillId="0" borderId="1" xfId="1" quotePrefix="1" applyNumberFormat="1" applyFont="1" applyFill="1" applyBorder="1" applyAlignment="1">
      <alignment horizontal="left" vertical="center" wrapText="1" shrinkToFit="1"/>
    </xf>
    <xf numFmtId="0" fontId="11" fillId="0" borderId="17" xfId="0" applyFont="1" applyFill="1" applyBorder="1" applyAlignment="1">
      <alignment horizontal="left" vertical="center" wrapText="1" shrinkToFit="1"/>
    </xf>
    <xf numFmtId="0" fontId="50" fillId="0" borderId="0" xfId="0" applyFont="1" applyFill="1" applyAlignment="1"/>
    <xf numFmtId="0" fontId="51" fillId="0" borderId="0" xfId="0" applyFont="1" applyFill="1" applyAlignment="1"/>
    <xf numFmtId="0" fontId="50" fillId="0" borderId="0" xfId="0" applyFont="1" applyFill="1"/>
    <xf numFmtId="0" fontId="51" fillId="0" borderId="0" xfId="0" applyFont="1" applyFill="1"/>
    <xf numFmtId="49" fontId="11" fillId="0" borderId="17" xfId="0" applyNumberFormat="1" applyFont="1" applyFill="1" applyBorder="1" applyAlignment="1">
      <alignment horizontal="left" vertical="center" wrapText="1" shrinkToFit="1"/>
    </xf>
    <xf numFmtId="49" fontId="11" fillId="0" borderId="1" xfId="0" applyNumberFormat="1" applyFont="1" applyFill="1" applyBorder="1" applyAlignment="1">
      <alignment horizontal="left" vertical="center" wrapText="1" shrinkToFit="1"/>
    </xf>
    <xf numFmtId="4" fontId="44" fillId="0" borderId="1" xfId="0" applyNumberFormat="1" applyFont="1" applyFill="1" applyBorder="1" applyAlignment="1">
      <alignment horizontal="right" shrinkToFit="1"/>
    </xf>
    <xf numFmtId="0" fontId="50" fillId="0" borderId="0" xfId="0" applyFont="1" applyFill="1" applyAlignment="1">
      <alignment wrapText="1" shrinkToFit="1"/>
    </xf>
    <xf numFmtId="49" fontId="11" fillId="0" borderId="1" xfId="0" quotePrefix="1" applyNumberFormat="1" applyFont="1" applyFill="1" applyBorder="1" applyAlignment="1">
      <alignment wrapText="1" shrinkToFi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4" fillId="0" borderId="2" xfId="0" applyNumberFormat="1" applyFont="1" applyFill="1" applyBorder="1" applyAlignment="1">
      <alignment horizontal="center" vertical="top" shrinkToFit="1"/>
    </xf>
    <xf numFmtId="0" fontId="16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center" vertical="top" shrinkToFit="1"/>
    </xf>
    <xf numFmtId="49" fontId="11" fillId="0" borderId="2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0" xfId="0" applyNumberFormat="1" applyFont="1"/>
    <xf numFmtId="3" fontId="0" fillId="0" borderId="0" xfId="0" applyNumberFormat="1"/>
    <xf numFmtId="3" fontId="8" fillId="0" borderId="0" xfId="0" applyNumberFormat="1" applyFont="1" applyAlignment="1">
      <alignment horizontal="right"/>
    </xf>
    <xf numFmtId="0" fontId="1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/>
    <xf numFmtId="4" fontId="19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4" fontId="12" fillId="0" borderId="1" xfId="0" applyNumberFormat="1" applyFont="1" applyBorder="1" applyAlignment="1">
      <alignment vertical="top" wrapText="1"/>
    </xf>
    <xf numFmtId="0" fontId="2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vertical="center" wrapText="1"/>
    </xf>
    <xf numFmtId="3" fontId="14" fillId="0" borderId="0" xfId="0" applyNumberFormat="1" applyFont="1"/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vertical="top" wrapText="1"/>
    </xf>
    <xf numFmtId="49" fontId="11" fillId="0" borderId="4" xfId="2" applyNumberFormat="1" applyFont="1" applyFill="1" applyBorder="1" applyAlignment="1">
      <alignment vertical="top" wrapText="1"/>
    </xf>
    <xf numFmtId="4" fontId="5" fillId="0" borderId="0" xfId="269" applyNumberFormat="1" applyFont="1" applyFill="1" applyBorder="1" applyAlignment="1" applyProtection="1">
      <alignment horizontal="right" shrinkToFit="1"/>
    </xf>
    <xf numFmtId="4" fontId="1" fillId="0" borderId="0" xfId="0" applyNumberFormat="1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/>
    <xf numFmtId="0" fontId="1" fillId="0" borderId="0" xfId="0" applyFont="1" applyFill="1" applyBorder="1"/>
    <xf numFmtId="4" fontId="0" fillId="0" borderId="0" xfId="0" applyNumberFormat="1"/>
    <xf numFmtId="3" fontId="1" fillId="0" borderId="0" xfId="0" applyNumberFormat="1" applyFont="1" applyFill="1"/>
    <xf numFmtId="4" fontId="1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right"/>
    </xf>
    <xf numFmtId="3" fontId="11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center" wrapText="1"/>
    </xf>
    <xf numFmtId="49" fontId="11" fillId="0" borderId="3" xfId="4" applyNumberFormat="1" applyFont="1" applyFill="1" applyProtection="1">
      <alignment horizontal="center" vertical="top" shrinkToFit="1"/>
    </xf>
    <xf numFmtId="4" fontId="3" fillId="0" borderId="0" xfId="0" applyNumberFormat="1" applyFont="1" applyFill="1" applyAlignment="1">
      <alignment wrapText="1"/>
    </xf>
    <xf numFmtId="49" fontId="16" fillId="0" borderId="3" xfId="5" applyNumberFormat="1" applyFont="1" applyFill="1" applyBorder="1" applyAlignment="1">
      <alignment vertical="top" shrinkToFit="1"/>
    </xf>
    <xf numFmtId="0" fontId="16" fillId="0" borderId="3" xfId="5" applyFont="1" applyFill="1" applyBorder="1" applyAlignment="1">
      <alignment horizontal="left" vertical="top" wrapText="1"/>
    </xf>
    <xf numFmtId="4" fontId="47" fillId="0" borderId="0" xfId="0" applyNumberFormat="1" applyFont="1" applyFill="1"/>
    <xf numFmtId="0" fontId="11" fillId="0" borderId="3" xfId="5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49" fontId="5" fillId="0" borderId="0" xfId="0" applyNumberFormat="1" applyFont="1" applyFill="1"/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/>
    <xf numFmtId="4" fontId="1" fillId="0" borderId="0" xfId="0" applyNumberFormat="1" applyFont="1" applyFill="1" applyAlignment="1"/>
    <xf numFmtId="0" fontId="11" fillId="0" borderId="4" xfId="2" applyFont="1" applyFill="1" applyBorder="1" applyAlignment="1">
      <alignment horizontal="justify" vertical="top" wrapText="1"/>
    </xf>
    <xf numFmtId="0" fontId="11" fillId="0" borderId="3" xfId="285" applyNumberFormat="1" applyFont="1" applyFill="1" applyAlignment="1" applyProtection="1">
      <alignment vertical="top" wrapText="1"/>
    </xf>
    <xf numFmtId="49" fontId="11" fillId="0" borderId="3" xfId="258" applyNumberFormat="1" applyFont="1" applyFill="1" applyAlignment="1" applyProtection="1">
      <alignment horizontal="left" vertical="top" shrinkToFit="1"/>
    </xf>
    <xf numFmtId="0" fontId="11" fillId="0" borderId="3" xfId="304" applyNumberFormat="1" applyFont="1" applyFill="1" applyAlignment="1" applyProtection="1">
      <alignment horizontal="left" vertical="top" wrapText="1"/>
    </xf>
    <xf numFmtId="0" fontId="42" fillId="0" borderId="0" xfId="0" applyFont="1" applyFill="1" applyBorder="1"/>
    <xf numFmtId="4" fontId="11" fillId="0" borderId="3" xfId="3" applyFont="1" applyFill="1" applyProtection="1">
      <alignment horizontal="right" vertical="top" shrinkToFit="1"/>
    </xf>
    <xf numFmtId="4" fontId="11" fillId="0" borderId="1" xfId="2" applyNumberFormat="1" applyFont="1" applyFill="1" applyBorder="1" applyAlignment="1" applyProtection="1">
      <alignment vertical="top" shrinkToFit="1"/>
      <protection locked="0"/>
    </xf>
    <xf numFmtId="4" fontId="11" fillId="0" borderId="4" xfId="2" applyNumberFormat="1" applyFont="1" applyFill="1" applyBorder="1" applyAlignment="1" applyProtection="1">
      <alignment vertical="top" shrinkToFit="1"/>
      <protection locked="0"/>
    </xf>
    <xf numFmtId="4" fontId="11" fillId="0" borderId="3" xfId="5" applyNumberFormat="1" applyFont="1" applyFill="1" applyBorder="1" applyAlignment="1">
      <alignment horizontal="right" vertical="top" shrinkToFit="1"/>
    </xf>
    <xf numFmtId="4" fontId="18" fillId="0" borderId="0" xfId="0" applyNumberFormat="1" applyFont="1" applyFill="1"/>
    <xf numFmtId="4" fontId="49" fillId="0" borderId="0" xfId="0" applyNumberFormat="1" applyFont="1" applyFill="1"/>
    <xf numFmtId="4" fontId="11" fillId="0" borderId="1" xfId="0" applyNumberFormat="1" applyFont="1" applyFill="1" applyBorder="1" applyAlignment="1"/>
    <xf numFmtId="43" fontId="11" fillId="0" borderId="1" xfId="310" applyFont="1" applyFill="1" applyBorder="1" applyAlignment="1" applyProtection="1">
      <alignment horizontal="right" vertical="center"/>
      <protection locked="0"/>
    </xf>
    <xf numFmtId="4" fontId="11" fillId="0" borderId="1" xfId="31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wrapText="1"/>
    </xf>
  </cellXfs>
  <cellStyles count="311">
    <cellStyle name="20% — акцент1 2" xfId="6"/>
    <cellStyle name="20% — акцент2 2" xfId="7"/>
    <cellStyle name="20% — акцент3 2" xfId="8"/>
    <cellStyle name="20% — акцент4 2" xfId="9"/>
    <cellStyle name="20% — акцент5 2" xfId="10"/>
    <cellStyle name="20% — акцент6 2" xfId="11"/>
    <cellStyle name="40% — акцент1 2" xfId="12"/>
    <cellStyle name="40% — акцент2 2" xfId="13"/>
    <cellStyle name="40% — акцент3 2" xfId="14"/>
    <cellStyle name="40% — акцент4 2" xfId="15"/>
    <cellStyle name="40% — акцент5 2" xfId="16"/>
    <cellStyle name="40% — акцент6 2" xfId="17"/>
    <cellStyle name="60% — акцент1 2" xfId="18"/>
    <cellStyle name="60% — акцент2 2" xfId="19"/>
    <cellStyle name="60% — акцент3 2" xfId="20"/>
    <cellStyle name="60% — акцент4 2" xfId="21"/>
    <cellStyle name="60% — акцент5 2" xfId="22"/>
    <cellStyle name="60% — акцент6 2" xfId="23"/>
    <cellStyle name="br" xfId="244"/>
    <cellStyle name="col" xfId="245"/>
    <cellStyle name="style0" xfId="246"/>
    <cellStyle name="style0 2" xfId="290"/>
    <cellStyle name="td" xfId="247"/>
    <cellStyle name="td 2" xfId="291"/>
    <cellStyle name="tr" xfId="248"/>
    <cellStyle name="xl21" xfId="249"/>
    <cellStyle name="xl21 2" xfId="292"/>
    <cellStyle name="xl22" xfId="250"/>
    <cellStyle name="xl22 2" xfId="251"/>
    <cellStyle name="xl23" xfId="252"/>
    <cellStyle name="xl23 2" xfId="4"/>
    <cellStyle name="xl24" xfId="253"/>
    <cellStyle name="xl25" xfId="254"/>
    <cellStyle name="xl26" xfId="255"/>
    <cellStyle name="xl26 2" xfId="293"/>
    <cellStyle name="xl27" xfId="256"/>
    <cellStyle name="xl28" xfId="257"/>
    <cellStyle name="xl28 2" xfId="294"/>
    <cellStyle name="xl29" xfId="258"/>
    <cellStyle name="xl29 2" xfId="259"/>
    <cellStyle name="xl30" xfId="260"/>
    <cellStyle name="xl30 2" xfId="261"/>
    <cellStyle name="xl30 3" xfId="295"/>
    <cellStyle name="xl31" xfId="262"/>
    <cellStyle name="xl31 2" xfId="263"/>
    <cellStyle name="xl31 3" xfId="296"/>
    <cellStyle name="xl32" xfId="264"/>
    <cellStyle name="xl32 2" xfId="297"/>
    <cellStyle name="xl33" xfId="265"/>
    <cellStyle name="xl33 2" xfId="266"/>
    <cellStyle name="xl33 3" xfId="298"/>
    <cellStyle name="xl34" xfId="267"/>
    <cellStyle name="xl34 2" xfId="242"/>
    <cellStyle name="xl34 3" xfId="299"/>
    <cellStyle name="xl35" xfId="268"/>
    <cellStyle name="xl35 2" xfId="243"/>
    <cellStyle name="xl35 3" xfId="300"/>
    <cellStyle name="xl36" xfId="269"/>
    <cellStyle name="xl36 2" xfId="270"/>
    <cellStyle name="xl36 3" xfId="301"/>
    <cellStyle name="xl37" xfId="271"/>
    <cellStyle name="xl37 2" xfId="272"/>
    <cellStyle name="xl37 3" xfId="302"/>
    <cellStyle name="xl38" xfId="273"/>
    <cellStyle name="xl38 2" xfId="274"/>
    <cellStyle name="xl38 3" xfId="303"/>
    <cellStyle name="xl39" xfId="275"/>
    <cellStyle name="xl39 2" xfId="276"/>
    <cellStyle name="xl39 3" xfId="304"/>
    <cellStyle name="xl40" xfId="277"/>
    <cellStyle name="xl40 2" xfId="278"/>
    <cellStyle name="xl40 3" xfId="305"/>
    <cellStyle name="xl41" xfId="279"/>
    <cellStyle name="xl41 2" xfId="280"/>
    <cellStyle name="xl41 3" xfId="306"/>
    <cellStyle name="xl42" xfId="281"/>
    <cellStyle name="xl42 2" xfId="282"/>
    <cellStyle name="xl42 3" xfId="307"/>
    <cellStyle name="xl43" xfId="283"/>
    <cellStyle name="xl43 2" xfId="284"/>
    <cellStyle name="xl43 3" xfId="308"/>
    <cellStyle name="xl44" xfId="285"/>
    <cellStyle name="xl44 2" xfId="286"/>
    <cellStyle name="xl44 3" xfId="309"/>
    <cellStyle name="xl45" xfId="3"/>
    <cellStyle name="xl45 2" xfId="287"/>
    <cellStyle name="xl46" xfId="288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2"/>
    <cellStyle name="Обычный 100" xfId="41"/>
    <cellStyle name="Обычный 101" xfId="42"/>
    <cellStyle name="Обычный 102" xfId="43"/>
    <cellStyle name="Обычный 103" xfId="44"/>
    <cellStyle name="Обычный 104" xfId="45"/>
    <cellStyle name="Обычный 105" xfId="46"/>
    <cellStyle name="Обычный 106" xfId="47"/>
    <cellStyle name="Обычный 107" xfId="48"/>
    <cellStyle name="Обычный 108" xfId="49"/>
    <cellStyle name="Обычный 109" xfId="50"/>
    <cellStyle name="Обычный 11" xfId="51"/>
    <cellStyle name="Обычный 110" xfId="52"/>
    <cellStyle name="Обычный 111" xfId="53"/>
    <cellStyle name="Обычный 112" xfId="54"/>
    <cellStyle name="Обычный 113" xfId="55"/>
    <cellStyle name="Обычный 114" xfId="56"/>
    <cellStyle name="Обычный 115" xfId="57"/>
    <cellStyle name="Обычный 116" xfId="58"/>
    <cellStyle name="Обычный 117" xfId="59"/>
    <cellStyle name="Обычный 118" xfId="60"/>
    <cellStyle name="Обычный 119" xfId="61"/>
    <cellStyle name="Обычный 12" xfId="62"/>
    <cellStyle name="Обычный 120" xfId="63"/>
    <cellStyle name="Обычный 121" xfId="64"/>
    <cellStyle name="Обычный 122" xfId="65"/>
    <cellStyle name="Обычный 123" xfId="66"/>
    <cellStyle name="Обычный 124" xfId="67"/>
    <cellStyle name="Обычный 125" xfId="68"/>
    <cellStyle name="Обычный 126" xfId="69"/>
    <cellStyle name="Обычный 127" xfId="70"/>
    <cellStyle name="Обычный 128" xfId="71"/>
    <cellStyle name="Обычный 129" xfId="72"/>
    <cellStyle name="Обычный 13" xfId="73"/>
    <cellStyle name="Обычный 130" xfId="74"/>
    <cellStyle name="Обычный 131" xfId="75"/>
    <cellStyle name="Обычный 132" xfId="76"/>
    <cellStyle name="Обычный 133" xfId="77"/>
    <cellStyle name="Обычный 134" xfId="78"/>
    <cellStyle name="Обычный 135" xfId="79"/>
    <cellStyle name="Обычный 136" xfId="80"/>
    <cellStyle name="Обычный 137" xfId="81"/>
    <cellStyle name="Обычный 138" xfId="82"/>
    <cellStyle name="Обычный 139" xfId="83"/>
    <cellStyle name="Обычный 14" xfId="84"/>
    <cellStyle name="Обычный 140" xfId="85"/>
    <cellStyle name="Обычный 141" xfId="86"/>
    <cellStyle name="Обычный 142" xfId="87"/>
    <cellStyle name="Обычный 143" xfId="88"/>
    <cellStyle name="Обычный 144" xfId="89"/>
    <cellStyle name="Обычный 145" xfId="90"/>
    <cellStyle name="Обычный 146" xfId="91"/>
    <cellStyle name="Обычный 147" xfId="92"/>
    <cellStyle name="Обычный 148" xfId="93"/>
    <cellStyle name="Обычный 149" xfId="94"/>
    <cellStyle name="Обычный 15" xfId="95"/>
    <cellStyle name="Обычный 150" xfId="96"/>
    <cellStyle name="Обычный 151" xfId="97"/>
    <cellStyle name="Обычный 152" xfId="98"/>
    <cellStyle name="Обычный 153" xfId="99"/>
    <cellStyle name="Обычный 154" xfId="100"/>
    <cellStyle name="Обычный 155" xfId="101"/>
    <cellStyle name="Обычный 156" xfId="102"/>
    <cellStyle name="Обычный 157" xfId="103"/>
    <cellStyle name="Обычный 158" xfId="104"/>
    <cellStyle name="Обычный 159" xfId="105"/>
    <cellStyle name="Обычный 16" xfId="106"/>
    <cellStyle name="Обычный 160" xfId="107"/>
    <cellStyle name="Обычный 161" xfId="108"/>
    <cellStyle name="Обычный 162" xfId="109"/>
    <cellStyle name="Обычный 163" xfId="110"/>
    <cellStyle name="Обычный 164" xfId="111"/>
    <cellStyle name="Обычный 165" xfId="112"/>
    <cellStyle name="Обычный 166" xfId="113"/>
    <cellStyle name="Обычный 167" xfId="114"/>
    <cellStyle name="Обычный 168" xfId="115"/>
    <cellStyle name="Обычный 169" xfId="116"/>
    <cellStyle name="Обычный 17" xfId="117"/>
    <cellStyle name="Обычный 170" xfId="118"/>
    <cellStyle name="Обычный 171" xfId="119"/>
    <cellStyle name="Обычный 172" xfId="120"/>
    <cellStyle name="Обычный 173" xfId="121"/>
    <cellStyle name="Обычный 174" xfId="122"/>
    <cellStyle name="Обычный 175" xfId="123"/>
    <cellStyle name="Обычный 176" xfId="124"/>
    <cellStyle name="Обычный 177" xfId="125"/>
    <cellStyle name="Обычный 178" xfId="126"/>
    <cellStyle name="Обычный 179" xfId="127"/>
    <cellStyle name="Обычный 18" xfId="128"/>
    <cellStyle name="Обычный 180" xfId="129"/>
    <cellStyle name="Обычный 181" xfId="130"/>
    <cellStyle name="Обычный 182" xfId="131"/>
    <cellStyle name="Обычный 183" xfId="132"/>
    <cellStyle name="Обычный 184" xfId="289"/>
    <cellStyle name="Обычный 185" xfId="133"/>
    <cellStyle name="Обычный 186" xfId="134"/>
    <cellStyle name="Обычный 187" xfId="135"/>
    <cellStyle name="Обычный 188" xfId="136"/>
    <cellStyle name="Обычный 189" xfId="137"/>
    <cellStyle name="Обычный 19" xfId="138"/>
    <cellStyle name="Обычный 190" xfId="139"/>
    <cellStyle name="Обычный 191" xfId="140"/>
    <cellStyle name="Обычный 192" xfId="141"/>
    <cellStyle name="Обычный 193" xfId="142"/>
    <cellStyle name="Обычный 194" xfId="143"/>
    <cellStyle name="Обычный 195" xfId="144"/>
    <cellStyle name="Обычный 196" xfId="145"/>
    <cellStyle name="Обычный 197" xfId="146"/>
    <cellStyle name="Обычный 198" xfId="147"/>
    <cellStyle name="Обычный 2" xfId="148"/>
    <cellStyle name="Обычный 20" xfId="149"/>
    <cellStyle name="Обычный 21" xfId="150"/>
    <cellStyle name="Обычный 22" xfId="151"/>
    <cellStyle name="Обычный 23" xfId="152"/>
    <cellStyle name="Обычный 24" xfId="153"/>
    <cellStyle name="Обычный 25" xfId="154"/>
    <cellStyle name="Обычный 26" xfId="155"/>
    <cellStyle name="Обычный 27" xfId="156"/>
    <cellStyle name="Обычный 28" xfId="157"/>
    <cellStyle name="Обычный 29" xfId="158"/>
    <cellStyle name="Обычный 3" xfId="1"/>
    <cellStyle name="Обычный 30" xfId="159"/>
    <cellStyle name="Обычный 31" xfId="160"/>
    <cellStyle name="Обычный 32" xfId="161"/>
    <cellStyle name="Обычный 33" xfId="162"/>
    <cellStyle name="Обычный 34" xfId="163"/>
    <cellStyle name="Обычный 35" xfId="164"/>
    <cellStyle name="Обычный 36" xfId="165"/>
    <cellStyle name="Обычный 37" xfId="166"/>
    <cellStyle name="Обычный 38" xfId="167"/>
    <cellStyle name="Обычный 39" xfId="168"/>
    <cellStyle name="Обычный 4" xfId="169"/>
    <cellStyle name="Обычный 40" xfId="170"/>
    <cellStyle name="Обычный 41" xfId="171"/>
    <cellStyle name="Обычный 42" xfId="172"/>
    <cellStyle name="Обычный 43" xfId="173"/>
    <cellStyle name="Обычный 44" xfId="174"/>
    <cellStyle name="Обычный 45" xfId="175"/>
    <cellStyle name="Обычный 46" xfId="176"/>
    <cellStyle name="Обычный 47" xfId="177"/>
    <cellStyle name="Обычный 48" xfId="178"/>
    <cellStyle name="Обычный 49" xfId="179"/>
    <cellStyle name="Обычный 5" xfId="180"/>
    <cellStyle name="Обычный 50" xfId="181"/>
    <cellStyle name="Обычный 51" xfId="182"/>
    <cellStyle name="Обычный 52" xfId="183"/>
    <cellStyle name="Обычный 53" xfId="184"/>
    <cellStyle name="Обычный 54" xfId="185"/>
    <cellStyle name="Обычный 55" xfId="186"/>
    <cellStyle name="Обычный 56" xfId="187"/>
    <cellStyle name="Обычный 57" xfId="188"/>
    <cellStyle name="Обычный 58" xfId="189"/>
    <cellStyle name="Обычный 59" xfId="190"/>
    <cellStyle name="Обычный 6" xfId="191"/>
    <cellStyle name="Обычный 60" xfId="192"/>
    <cellStyle name="Обычный 61" xfId="193"/>
    <cellStyle name="Обычный 62" xfId="194"/>
    <cellStyle name="Обычный 63" xfId="195"/>
    <cellStyle name="Обычный 64" xfId="196"/>
    <cellStyle name="Обычный 65" xfId="197"/>
    <cellStyle name="Обычный 66" xfId="198"/>
    <cellStyle name="Обычный 67" xfId="199"/>
    <cellStyle name="Обычный 68" xfId="200"/>
    <cellStyle name="Обычный 69" xfId="201"/>
    <cellStyle name="Обычный 7" xfId="202"/>
    <cellStyle name="Обычный 70" xfId="203"/>
    <cellStyle name="Обычный 71" xfId="204"/>
    <cellStyle name="Обычный 72" xfId="205"/>
    <cellStyle name="Обычный 73" xfId="206"/>
    <cellStyle name="Обычный 74" xfId="207"/>
    <cellStyle name="Обычный 75" xfId="208"/>
    <cellStyle name="Обычный 76" xfId="209"/>
    <cellStyle name="Обычный 77" xfId="210"/>
    <cellStyle name="Обычный 78" xfId="211"/>
    <cellStyle name="Обычный 79" xfId="212"/>
    <cellStyle name="Обычный 8" xfId="213"/>
    <cellStyle name="Обычный 80" xfId="214"/>
    <cellStyle name="Обычный 81" xfId="215"/>
    <cellStyle name="Обычный 82" xfId="216"/>
    <cellStyle name="Обычный 83" xfId="217"/>
    <cellStyle name="Обычный 84" xfId="218"/>
    <cellStyle name="Обычный 85" xfId="219"/>
    <cellStyle name="Обычный 86" xfId="220"/>
    <cellStyle name="Обычный 87" xfId="221"/>
    <cellStyle name="Обычный 88" xfId="222"/>
    <cellStyle name="Обычный 89" xfId="223"/>
    <cellStyle name="Обычный 9" xfId="224"/>
    <cellStyle name="Обычный 90" xfId="5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Плохой 2" xfId="234"/>
    <cellStyle name="Пояснение 2" xfId="235"/>
    <cellStyle name="Примечание 2" xfId="240"/>
    <cellStyle name="Примечание 3" xfId="236"/>
    <cellStyle name="Процентный 2" xfId="241"/>
    <cellStyle name="Связанная ячейка 2" xfId="237"/>
    <cellStyle name="Текст предупреждения 2" xfId="238"/>
    <cellStyle name="Финансовый" xfId="310" builtinId="3"/>
    <cellStyle name="Хороший 2" xfId="2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9"/>
  <sheetViews>
    <sheetView zoomScale="90" zoomScaleNormal="90" workbookViewId="0">
      <selection activeCell="B3" sqref="B3"/>
    </sheetView>
  </sheetViews>
  <sheetFormatPr defaultColWidth="9.140625" defaultRowHeight="15" x14ac:dyDescent="0.25"/>
  <cols>
    <col min="1" max="1" width="31.140625" style="68" bestFit="1" customWidth="1"/>
    <col min="2" max="2" width="60" style="2" customWidth="1"/>
    <col min="3" max="4" width="21.7109375" style="146" customWidth="1"/>
    <col min="5" max="5" width="22.42578125" style="146" customWidth="1"/>
    <col min="6" max="6" width="9.140625" style="1" customWidth="1"/>
    <col min="7" max="7" width="16" style="147" hidden="1" customWidth="1"/>
    <col min="8" max="8" width="14.42578125" style="1" customWidth="1"/>
    <col min="9" max="9" width="19" style="20" customWidth="1"/>
    <col min="10" max="10" width="13.140625" style="1" customWidth="1"/>
    <col min="11" max="16" width="9.140625" style="1" customWidth="1"/>
    <col min="17" max="17" width="14.85546875" style="1" customWidth="1"/>
    <col min="18" max="16384" width="9.140625" style="1"/>
  </cols>
  <sheetData>
    <row r="2" spans="1:9" ht="18" x14ac:dyDescent="0.25">
      <c r="D2" s="181" t="s">
        <v>473</v>
      </c>
      <c r="E2" s="181"/>
    </row>
    <row r="3" spans="1:9" ht="18" x14ac:dyDescent="0.25">
      <c r="D3" s="181" t="s">
        <v>16</v>
      </c>
      <c r="E3" s="181"/>
    </row>
    <row r="4" spans="1:9" ht="18" x14ac:dyDescent="0.25">
      <c r="D4" s="181" t="s">
        <v>17</v>
      </c>
      <c r="E4" s="181"/>
    </row>
    <row r="5" spans="1:9" ht="18" x14ac:dyDescent="0.25">
      <c r="D5" s="181" t="s">
        <v>18</v>
      </c>
      <c r="E5" s="181"/>
    </row>
    <row r="6" spans="1:9" ht="18" x14ac:dyDescent="0.25">
      <c r="D6" s="181" t="s">
        <v>19</v>
      </c>
      <c r="E6" s="181"/>
    </row>
    <row r="7" spans="1:9" ht="18" x14ac:dyDescent="0.25">
      <c r="D7" s="181" t="s">
        <v>561</v>
      </c>
      <c r="E7" s="181"/>
    </row>
    <row r="8" spans="1:9" ht="18" x14ac:dyDescent="0.25">
      <c r="D8" s="181" t="s">
        <v>562</v>
      </c>
      <c r="E8" s="181"/>
    </row>
    <row r="11" spans="1:9" ht="36" customHeight="1" x14ac:dyDescent="0.25">
      <c r="A11" s="182" t="s">
        <v>172</v>
      </c>
      <c r="B11" s="182"/>
      <c r="C11" s="182"/>
      <c r="D11" s="182"/>
      <c r="E11" s="182"/>
    </row>
    <row r="13" spans="1:9" x14ac:dyDescent="0.25">
      <c r="E13" s="148"/>
    </row>
    <row r="14" spans="1:9" s="33" customFormat="1" ht="27" customHeight="1" x14ac:dyDescent="0.25">
      <c r="A14" s="74" t="s">
        <v>20</v>
      </c>
      <c r="B14" s="21" t="s">
        <v>21</v>
      </c>
      <c r="C14" s="149" t="s">
        <v>22</v>
      </c>
      <c r="D14" s="149" t="s">
        <v>23</v>
      </c>
      <c r="E14" s="149" t="s">
        <v>173</v>
      </c>
      <c r="G14" s="147"/>
      <c r="I14" s="34"/>
    </row>
    <row r="15" spans="1:9" ht="15.75" x14ac:dyDescent="0.25">
      <c r="A15" s="12" t="s">
        <v>24</v>
      </c>
      <c r="B15" s="3" t="s">
        <v>25</v>
      </c>
      <c r="C15" s="17">
        <f>SUM(C16:C20)</f>
        <v>1512500126.1400001</v>
      </c>
      <c r="D15" s="17">
        <f>SUM(D16:D20)</f>
        <v>1512280000</v>
      </c>
      <c r="E15" s="17">
        <f>SUM(E16:E20)</f>
        <v>1616310000</v>
      </c>
    </row>
    <row r="16" spans="1:9" ht="96" customHeight="1" x14ac:dyDescent="0.25">
      <c r="A16" s="6" t="s">
        <v>26</v>
      </c>
      <c r="B16" s="4" t="s">
        <v>27</v>
      </c>
      <c r="C16" s="8">
        <f>1429527000+47838400+2124000+15000000</f>
        <v>1494489400</v>
      </c>
      <c r="D16" s="8">
        <v>1496075000</v>
      </c>
      <c r="E16" s="8">
        <v>1600070000</v>
      </c>
      <c r="G16" s="147">
        <v>15000000</v>
      </c>
    </row>
    <row r="17" spans="1:17" ht="150" x14ac:dyDescent="0.25">
      <c r="A17" s="6" t="s">
        <v>28</v>
      </c>
      <c r="B17" s="4" t="s">
        <v>29</v>
      </c>
      <c r="C17" s="8">
        <v>4200000</v>
      </c>
      <c r="D17" s="8">
        <v>4200000</v>
      </c>
      <c r="E17" s="8">
        <v>4200000</v>
      </c>
    </row>
    <row r="18" spans="1:17" ht="75" x14ac:dyDescent="0.25">
      <c r="A18" s="6" t="s">
        <v>30</v>
      </c>
      <c r="B18" s="4" t="s">
        <v>31</v>
      </c>
      <c r="C18" s="8">
        <v>1470000</v>
      </c>
      <c r="D18" s="8">
        <v>1505000</v>
      </c>
      <c r="E18" s="8">
        <v>1540000</v>
      </c>
    </row>
    <row r="19" spans="1:17" ht="135" x14ac:dyDescent="0.25">
      <c r="A19" s="6" t="s">
        <v>32</v>
      </c>
      <c r="B19" s="4" t="s">
        <v>33</v>
      </c>
      <c r="C19" s="8">
        <v>10000000</v>
      </c>
      <c r="D19" s="8">
        <v>10000000</v>
      </c>
      <c r="E19" s="8">
        <v>10000000</v>
      </c>
      <c r="H19" s="150"/>
    </row>
    <row r="20" spans="1:17" ht="105" x14ac:dyDescent="0.25">
      <c r="A20" s="6" t="s">
        <v>176</v>
      </c>
      <c r="B20" s="4" t="s">
        <v>175</v>
      </c>
      <c r="C20" s="8">
        <f>500000+1840726.14</f>
        <v>2340726.1399999997</v>
      </c>
      <c r="D20" s="8">
        <v>500000</v>
      </c>
      <c r="E20" s="8">
        <v>500000</v>
      </c>
      <c r="H20" s="150"/>
    </row>
    <row r="21" spans="1:17" s="23" customFormat="1" ht="47.25" x14ac:dyDescent="0.25">
      <c r="A21" s="138" t="s">
        <v>34</v>
      </c>
      <c r="B21" s="5" t="s">
        <v>35</v>
      </c>
      <c r="C21" s="17">
        <f>SUM(C22:C25)</f>
        <v>11399310</v>
      </c>
      <c r="D21" s="17">
        <f>SUM(D22:D25)</f>
        <v>12124770</v>
      </c>
      <c r="E21" s="17">
        <f>SUM(E22:E25)</f>
        <v>12530050</v>
      </c>
      <c r="G21" s="151"/>
      <c r="H21" s="24"/>
      <c r="I21" s="24"/>
    </row>
    <row r="22" spans="1:17" ht="45" customHeight="1" x14ac:dyDescent="0.25">
      <c r="A22" s="6" t="s">
        <v>36</v>
      </c>
      <c r="B22" s="4" t="s">
        <v>37</v>
      </c>
      <c r="C22" s="172">
        <f>4781490+372490</f>
        <v>5153980</v>
      </c>
      <c r="D22" s="172">
        <f>4781490+643100</f>
        <v>5424590</v>
      </c>
      <c r="E22" s="172">
        <f>4781490+735330</f>
        <v>5516820</v>
      </c>
      <c r="H22" s="150"/>
      <c r="Q22" s="152"/>
    </row>
    <row r="23" spans="1:17" ht="75" x14ac:dyDescent="0.25">
      <c r="A23" s="6" t="s">
        <v>38</v>
      </c>
      <c r="B23" s="4" t="s">
        <v>39</v>
      </c>
      <c r="C23" s="172">
        <f>27250+1280</f>
        <v>28530</v>
      </c>
      <c r="D23" s="172">
        <f>27250+3140</f>
        <v>30390</v>
      </c>
      <c r="E23" s="172">
        <f>27250+4630</f>
        <v>31880</v>
      </c>
      <c r="H23" s="150"/>
      <c r="Q23" s="152"/>
    </row>
    <row r="24" spans="1:17" ht="75" x14ac:dyDescent="0.25">
      <c r="A24" s="6" t="s">
        <v>40</v>
      </c>
      <c r="B24" s="4" t="s">
        <v>41</v>
      </c>
      <c r="C24" s="172">
        <f>6289770+573310</f>
        <v>6863080</v>
      </c>
      <c r="D24" s="172">
        <f>6289770+1052200</f>
        <v>7341970</v>
      </c>
      <c r="E24" s="172">
        <f>6289770+1399570</f>
        <v>7689340</v>
      </c>
      <c r="H24" s="150"/>
      <c r="Q24" s="152"/>
    </row>
    <row r="25" spans="1:17" ht="75" x14ac:dyDescent="0.25">
      <c r="A25" s="6" t="s">
        <v>42</v>
      </c>
      <c r="B25" s="4" t="s">
        <v>43</v>
      </c>
      <c r="C25" s="172">
        <f>-685040+38760</f>
        <v>-646280</v>
      </c>
      <c r="D25" s="172">
        <f>-685040+12860</f>
        <v>-672180</v>
      </c>
      <c r="E25" s="172">
        <f>-685040-22950</f>
        <v>-707990</v>
      </c>
      <c r="H25" s="150"/>
      <c r="Q25" s="152"/>
    </row>
    <row r="26" spans="1:17" ht="15.75" x14ac:dyDescent="0.25">
      <c r="A26" s="12" t="s">
        <v>44</v>
      </c>
      <c r="B26" s="3" t="s">
        <v>45</v>
      </c>
      <c r="C26" s="17">
        <f>C27+C31+C32</f>
        <v>169814500</v>
      </c>
      <c r="D26" s="17">
        <f>D27+D31+D32</f>
        <v>148536390</v>
      </c>
      <c r="E26" s="17">
        <f>E27+E31+E32</f>
        <v>152439980</v>
      </c>
    </row>
    <row r="27" spans="1:17" ht="30" x14ac:dyDescent="0.25">
      <c r="A27" s="13" t="s">
        <v>46</v>
      </c>
      <c r="B27" s="7" t="s">
        <v>47</v>
      </c>
      <c r="C27" s="8">
        <f>SUM(C28:C30)</f>
        <v>151925800</v>
      </c>
      <c r="D27" s="8">
        <f>SUM(D28:D30)</f>
        <v>130119690</v>
      </c>
      <c r="E27" s="8">
        <f>SUM(E28:E30)</f>
        <v>134023280</v>
      </c>
    </row>
    <row r="28" spans="1:17" ht="45" x14ac:dyDescent="0.25">
      <c r="A28" s="6" t="s">
        <v>48</v>
      </c>
      <c r="B28" s="4" t="s">
        <v>49</v>
      </c>
      <c r="C28" s="173">
        <f>91897000-2225160</f>
        <v>89671840</v>
      </c>
      <c r="D28" s="173">
        <f>94654000-2292000</f>
        <v>92362000</v>
      </c>
      <c r="E28" s="173">
        <f>97493000-2360150</f>
        <v>95132850</v>
      </c>
    </row>
    <row r="29" spans="1:17" ht="88.5" customHeight="1" x14ac:dyDescent="0.25">
      <c r="A29" s="139" t="s">
        <v>50</v>
      </c>
      <c r="B29" s="9" t="s">
        <v>51</v>
      </c>
      <c r="C29" s="174">
        <f>38380000-1722040+25596000</f>
        <v>62253960</v>
      </c>
      <c r="D29" s="174">
        <f>39500000-1742310</f>
        <v>37757690</v>
      </c>
      <c r="E29" s="174">
        <f>40685000-1794570</f>
        <v>38890430</v>
      </c>
    </row>
    <row r="30" spans="1:17" ht="30" x14ac:dyDescent="0.25">
      <c r="A30" s="139" t="s">
        <v>177</v>
      </c>
      <c r="B30" s="167" t="s">
        <v>178</v>
      </c>
      <c r="C30" s="174">
        <f>5000-5000</f>
        <v>0</v>
      </c>
      <c r="D30" s="174">
        <f>5000-5000</f>
        <v>0</v>
      </c>
      <c r="E30" s="174">
        <f>5000-5000</f>
        <v>0</v>
      </c>
    </row>
    <row r="31" spans="1:17" ht="30" x14ac:dyDescent="0.25">
      <c r="A31" s="6" t="s">
        <v>52</v>
      </c>
      <c r="B31" s="4" t="s">
        <v>53</v>
      </c>
      <c r="C31" s="8">
        <v>276700</v>
      </c>
      <c r="D31" s="8">
        <v>276700</v>
      </c>
      <c r="E31" s="8">
        <v>276700</v>
      </c>
    </row>
    <row r="32" spans="1:17" ht="75" x14ac:dyDescent="0.25">
      <c r="A32" s="6" t="s">
        <v>54</v>
      </c>
      <c r="B32" s="4" t="s">
        <v>55</v>
      </c>
      <c r="C32" s="8">
        <v>17612000</v>
      </c>
      <c r="D32" s="8">
        <v>18140000</v>
      </c>
      <c r="E32" s="8">
        <v>18140000</v>
      </c>
    </row>
    <row r="33" spans="1:6" ht="15.75" x14ac:dyDescent="0.25">
      <c r="A33" s="138" t="s">
        <v>56</v>
      </c>
      <c r="B33" s="5" t="s">
        <v>57</v>
      </c>
      <c r="C33" s="17">
        <f>C34+C35</f>
        <v>178000</v>
      </c>
      <c r="D33" s="17">
        <f>D34+D35</f>
        <v>178000</v>
      </c>
      <c r="E33" s="17">
        <f>E34+E35</f>
        <v>178000</v>
      </c>
    </row>
    <row r="34" spans="1:6" ht="60" x14ac:dyDescent="0.25">
      <c r="A34" s="153" t="s">
        <v>58</v>
      </c>
      <c r="B34" s="4" t="s">
        <v>59</v>
      </c>
      <c r="C34" s="8">
        <v>145000</v>
      </c>
      <c r="D34" s="8">
        <v>145000</v>
      </c>
      <c r="E34" s="8">
        <v>145000</v>
      </c>
    </row>
    <row r="35" spans="1:6" ht="60" x14ac:dyDescent="0.25">
      <c r="A35" s="153" t="s">
        <v>60</v>
      </c>
      <c r="B35" s="4" t="s">
        <v>61</v>
      </c>
      <c r="C35" s="8">
        <v>33000</v>
      </c>
      <c r="D35" s="8">
        <v>33000</v>
      </c>
      <c r="E35" s="8">
        <v>33000</v>
      </c>
    </row>
    <row r="36" spans="1:6" ht="31.5" x14ac:dyDescent="0.25">
      <c r="A36" s="12" t="s">
        <v>62</v>
      </c>
      <c r="B36" s="3" t="s">
        <v>63</v>
      </c>
      <c r="C36" s="17">
        <f>C37</f>
        <v>34496000</v>
      </c>
      <c r="D36" s="17">
        <f>D37</f>
        <v>37523000</v>
      </c>
      <c r="E36" s="17">
        <f>E37</f>
        <v>38904000</v>
      </c>
    </row>
    <row r="37" spans="1:6" ht="45" x14ac:dyDescent="0.25">
      <c r="A37" s="6" t="s">
        <v>64</v>
      </c>
      <c r="B37" s="4" t="s">
        <v>65</v>
      </c>
      <c r="C37" s="8">
        <v>34496000</v>
      </c>
      <c r="D37" s="8">
        <v>37523000</v>
      </c>
      <c r="E37" s="8">
        <v>38904000</v>
      </c>
    </row>
    <row r="38" spans="1:6" ht="15.75" x14ac:dyDescent="0.25">
      <c r="A38" s="12" t="s">
        <v>66</v>
      </c>
      <c r="B38" s="3" t="s">
        <v>67</v>
      </c>
      <c r="C38" s="17">
        <f>C39+C40</f>
        <v>9250000</v>
      </c>
      <c r="D38" s="17">
        <f>D39+D40</f>
        <v>9450000</v>
      </c>
      <c r="E38" s="17">
        <f>E39+E40</f>
        <v>9650000</v>
      </c>
    </row>
    <row r="39" spans="1:6" ht="90" x14ac:dyDescent="0.25">
      <c r="A39" s="6" t="s">
        <v>68</v>
      </c>
      <c r="B39" s="4" t="s">
        <v>69</v>
      </c>
      <c r="C39" s="8">
        <v>9200000</v>
      </c>
      <c r="D39" s="8">
        <v>9400000</v>
      </c>
      <c r="E39" s="8">
        <v>9600000</v>
      </c>
    </row>
    <row r="40" spans="1:6" ht="45" x14ac:dyDescent="0.25">
      <c r="A40" s="6" t="s">
        <v>70</v>
      </c>
      <c r="B40" s="4" t="s">
        <v>0</v>
      </c>
      <c r="C40" s="8">
        <v>50000</v>
      </c>
      <c r="D40" s="8">
        <v>50000</v>
      </c>
      <c r="E40" s="8">
        <v>50000</v>
      </c>
    </row>
    <row r="41" spans="1:6" ht="63" x14ac:dyDescent="0.25">
      <c r="A41" s="12" t="s">
        <v>71</v>
      </c>
      <c r="B41" s="3" t="s">
        <v>72</v>
      </c>
      <c r="C41" s="17">
        <f>C42+C43</f>
        <v>399864000</v>
      </c>
      <c r="D41" s="17">
        <f>D42+D43</f>
        <v>399933000</v>
      </c>
      <c r="E41" s="17">
        <f>E42+E43</f>
        <v>399933000</v>
      </c>
      <c r="F41" s="20"/>
    </row>
    <row r="42" spans="1:6" ht="90" x14ac:dyDescent="0.25">
      <c r="A42" s="6" t="s">
        <v>73</v>
      </c>
      <c r="B42" s="4" t="s">
        <v>74</v>
      </c>
      <c r="C42" s="8">
        <v>358600000</v>
      </c>
      <c r="D42" s="8">
        <v>358600000</v>
      </c>
      <c r="E42" s="8">
        <v>358600000</v>
      </c>
    </row>
    <row r="43" spans="1:6" ht="126" x14ac:dyDescent="0.25">
      <c r="A43" s="12" t="s">
        <v>75</v>
      </c>
      <c r="B43" s="3" t="s">
        <v>76</v>
      </c>
      <c r="C43" s="17">
        <f>C44+C45+C46+C48+C47</f>
        <v>41264000</v>
      </c>
      <c r="D43" s="17">
        <f>D44+D45+D46+D48+D47</f>
        <v>41333000</v>
      </c>
      <c r="E43" s="17">
        <f>E44+E45+E46+E48+E47</f>
        <v>41333000</v>
      </c>
    </row>
    <row r="44" spans="1:6" ht="116.25" customHeight="1" x14ac:dyDescent="0.25">
      <c r="A44" s="6" t="s">
        <v>77</v>
      </c>
      <c r="B44" s="4" t="s">
        <v>1</v>
      </c>
      <c r="C44" s="8">
        <v>2729000</v>
      </c>
      <c r="D44" s="8">
        <v>2798000</v>
      </c>
      <c r="E44" s="8">
        <v>2798000</v>
      </c>
    </row>
    <row r="45" spans="1:6" ht="120" x14ac:dyDescent="0.25">
      <c r="A45" s="6" t="s">
        <v>78</v>
      </c>
      <c r="B45" s="4" t="s">
        <v>79</v>
      </c>
      <c r="C45" s="8">
        <v>34959000</v>
      </c>
      <c r="D45" s="8">
        <v>34959000</v>
      </c>
      <c r="E45" s="8">
        <v>34959000</v>
      </c>
    </row>
    <row r="46" spans="1:6" ht="92.25" customHeight="1" x14ac:dyDescent="0.25">
      <c r="A46" s="6" t="s">
        <v>80</v>
      </c>
      <c r="B46" s="4" t="s">
        <v>81</v>
      </c>
      <c r="C46" s="8">
        <v>506000</v>
      </c>
      <c r="D46" s="8">
        <v>506000</v>
      </c>
      <c r="E46" s="8">
        <v>506000</v>
      </c>
    </row>
    <row r="47" spans="1:6" ht="90" x14ac:dyDescent="0.25">
      <c r="A47" s="6" t="s">
        <v>82</v>
      </c>
      <c r="B47" s="4" t="s">
        <v>83</v>
      </c>
      <c r="C47" s="8">
        <v>70000</v>
      </c>
      <c r="D47" s="8">
        <v>70000</v>
      </c>
      <c r="E47" s="8">
        <v>70000</v>
      </c>
    </row>
    <row r="48" spans="1:6" ht="60" x14ac:dyDescent="0.25">
      <c r="A48" s="6" t="s">
        <v>84</v>
      </c>
      <c r="B48" s="4" t="s">
        <v>85</v>
      </c>
      <c r="C48" s="8">
        <v>3000000</v>
      </c>
      <c r="D48" s="8">
        <v>3000000</v>
      </c>
      <c r="E48" s="8">
        <v>3000000</v>
      </c>
    </row>
    <row r="49" spans="1:9" ht="31.5" x14ac:dyDescent="0.25">
      <c r="A49" s="12" t="s">
        <v>86</v>
      </c>
      <c r="B49" s="3" t="s">
        <v>87</v>
      </c>
      <c r="C49" s="17">
        <f>SUM(C50:C54)</f>
        <v>19150700</v>
      </c>
      <c r="D49" s="17">
        <f>SUM(D50:D54)</f>
        <v>16378200</v>
      </c>
      <c r="E49" s="17">
        <f>SUM(E50:E54)</f>
        <v>17030800</v>
      </c>
      <c r="I49" s="154"/>
    </row>
    <row r="50" spans="1:9" ht="45" x14ac:dyDescent="0.25">
      <c r="A50" s="6" t="s">
        <v>179</v>
      </c>
      <c r="B50" s="4" t="s">
        <v>88</v>
      </c>
      <c r="C50" s="8">
        <f>1319200+134400</f>
        <v>1453600</v>
      </c>
      <c r="D50" s="8">
        <f>1319200+192600</f>
        <v>1511800</v>
      </c>
      <c r="E50" s="8">
        <f>1319200+253100</f>
        <v>1572300</v>
      </c>
      <c r="I50" s="154"/>
    </row>
    <row r="51" spans="1:9" ht="45" x14ac:dyDescent="0.25">
      <c r="A51" s="6" t="s">
        <v>180</v>
      </c>
      <c r="B51" s="4" t="s">
        <v>89</v>
      </c>
      <c r="C51" s="8">
        <f>29600+11000</f>
        <v>40600</v>
      </c>
      <c r="D51" s="8">
        <f>29600+12600</f>
        <v>42200</v>
      </c>
      <c r="E51" s="8">
        <f>29600+14300</f>
        <v>43900</v>
      </c>
      <c r="I51" s="154"/>
    </row>
    <row r="52" spans="1:9" ht="37.5" customHeight="1" x14ac:dyDescent="0.25">
      <c r="A52" s="6" t="s">
        <v>181</v>
      </c>
      <c r="B52" s="4" t="s">
        <v>90</v>
      </c>
      <c r="C52" s="8">
        <f>5071800+9121200</f>
        <v>14193000</v>
      </c>
      <c r="D52" s="8">
        <f>5071800+9688900</f>
        <v>14760700</v>
      </c>
      <c r="E52" s="8">
        <f>5071800+10279300</f>
        <v>15351100</v>
      </c>
      <c r="I52" s="154"/>
    </row>
    <row r="53" spans="1:9" ht="24" customHeight="1" x14ac:dyDescent="0.25">
      <c r="A53" s="6" t="s">
        <v>182</v>
      </c>
      <c r="B53" s="4" t="s">
        <v>170</v>
      </c>
      <c r="C53" s="8">
        <v>0</v>
      </c>
      <c r="D53" s="8">
        <v>0</v>
      </c>
      <c r="E53" s="8">
        <v>0</v>
      </c>
      <c r="I53" s="154"/>
    </row>
    <row r="54" spans="1:9" ht="45" x14ac:dyDescent="0.25">
      <c r="A54" s="6" t="s">
        <v>183</v>
      </c>
      <c r="B54" s="168" t="s">
        <v>169</v>
      </c>
      <c r="C54" s="8">
        <f>63500+3400000</f>
        <v>3463500</v>
      </c>
      <c r="D54" s="8">
        <v>63500</v>
      </c>
      <c r="E54" s="8">
        <v>63500</v>
      </c>
      <c r="I54" s="154"/>
    </row>
    <row r="55" spans="1:9" ht="31.5" x14ac:dyDescent="0.25">
      <c r="A55" s="12" t="s">
        <v>91</v>
      </c>
      <c r="B55" s="3" t="s">
        <v>546</v>
      </c>
      <c r="C55" s="17">
        <f>C56+C80</f>
        <v>79345395.650000006</v>
      </c>
      <c r="D55" s="17">
        <f>D56</f>
        <v>57584640</v>
      </c>
      <c r="E55" s="17">
        <f>E56</f>
        <v>57584640</v>
      </c>
      <c r="I55" s="154"/>
    </row>
    <row r="56" spans="1:9" ht="31.5" x14ac:dyDescent="0.25">
      <c r="A56" s="12" t="s">
        <v>92</v>
      </c>
      <c r="B56" s="3" t="s">
        <v>93</v>
      </c>
      <c r="C56" s="17">
        <f>SUM(C57:C79)</f>
        <v>58669696</v>
      </c>
      <c r="D56" s="17">
        <f>SUM(D57:D79)</f>
        <v>57584640</v>
      </c>
      <c r="E56" s="17">
        <f>SUM(E57:E79)</f>
        <v>57584640</v>
      </c>
      <c r="I56" s="154"/>
    </row>
    <row r="57" spans="1:9" ht="60" x14ac:dyDescent="0.25">
      <c r="A57" s="6" t="s">
        <v>94</v>
      </c>
      <c r="B57" s="10" t="s">
        <v>95</v>
      </c>
      <c r="C57" s="8">
        <v>100800</v>
      </c>
      <c r="D57" s="8">
        <v>100800</v>
      </c>
      <c r="E57" s="8">
        <v>100800</v>
      </c>
      <c r="I57" s="154"/>
    </row>
    <row r="58" spans="1:9" ht="45" x14ac:dyDescent="0.25">
      <c r="A58" s="6" t="s">
        <v>96</v>
      </c>
      <c r="B58" s="10" t="s">
        <v>97</v>
      </c>
      <c r="C58" s="8">
        <v>72000</v>
      </c>
      <c r="D58" s="8">
        <v>72000</v>
      </c>
      <c r="E58" s="8">
        <v>72000</v>
      </c>
      <c r="I58" s="154"/>
    </row>
    <row r="59" spans="1:9" ht="45" x14ac:dyDescent="0.25">
      <c r="A59" s="6" t="s">
        <v>98</v>
      </c>
      <c r="B59" s="4" t="s">
        <v>99</v>
      </c>
      <c r="C59" s="8">
        <v>4327680</v>
      </c>
      <c r="D59" s="8">
        <v>4327680</v>
      </c>
      <c r="E59" s="8">
        <v>4327680</v>
      </c>
      <c r="I59" s="154"/>
    </row>
    <row r="60" spans="1:9" ht="45" x14ac:dyDescent="0.25">
      <c r="A60" s="6" t="s">
        <v>174</v>
      </c>
      <c r="B60" s="19" t="s">
        <v>171</v>
      </c>
      <c r="C60" s="8">
        <v>11000000</v>
      </c>
      <c r="D60" s="8">
        <v>11000000</v>
      </c>
      <c r="E60" s="8">
        <v>11000000</v>
      </c>
      <c r="I60" s="154"/>
    </row>
    <row r="61" spans="1:9" ht="45" x14ac:dyDescent="0.25">
      <c r="A61" s="6" t="s">
        <v>100</v>
      </c>
      <c r="B61" s="10" t="s">
        <v>101</v>
      </c>
      <c r="C61" s="8">
        <v>72000</v>
      </c>
      <c r="D61" s="8">
        <v>72000</v>
      </c>
      <c r="E61" s="8">
        <v>72000</v>
      </c>
      <c r="I61" s="154"/>
    </row>
    <row r="62" spans="1:9" ht="60" x14ac:dyDescent="0.25">
      <c r="A62" s="6" t="s">
        <v>102</v>
      </c>
      <c r="B62" s="10" t="s">
        <v>103</v>
      </c>
      <c r="C62" s="8">
        <v>21600</v>
      </c>
      <c r="D62" s="8">
        <v>21600</v>
      </c>
      <c r="E62" s="8">
        <v>21600</v>
      </c>
      <c r="I62" s="154"/>
    </row>
    <row r="63" spans="1:9" ht="45" x14ac:dyDescent="0.25">
      <c r="A63" s="6" t="s">
        <v>104</v>
      </c>
      <c r="B63" s="4" t="s">
        <v>105</v>
      </c>
      <c r="C63" s="8">
        <v>3705600</v>
      </c>
      <c r="D63" s="8">
        <v>3705600</v>
      </c>
      <c r="E63" s="8">
        <v>3705600</v>
      </c>
      <c r="I63" s="154"/>
    </row>
    <row r="64" spans="1:9" ht="60" x14ac:dyDescent="0.25">
      <c r="A64" s="6" t="s">
        <v>106</v>
      </c>
      <c r="B64" s="4" t="s">
        <v>3</v>
      </c>
      <c r="C64" s="8">
        <v>168480</v>
      </c>
      <c r="D64" s="8">
        <v>168480</v>
      </c>
      <c r="E64" s="8">
        <v>168480</v>
      </c>
      <c r="I64" s="154"/>
    </row>
    <row r="65" spans="1:9" ht="60" x14ac:dyDescent="0.25">
      <c r="A65" s="6" t="s">
        <v>107</v>
      </c>
      <c r="B65" s="4" t="s">
        <v>4</v>
      </c>
      <c r="C65" s="8">
        <v>113040</v>
      </c>
      <c r="D65" s="8">
        <v>113040</v>
      </c>
      <c r="E65" s="8">
        <v>113040</v>
      </c>
      <c r="I65" s="154"/>
    </row>
    <row r="66" spans="1:9" ht="60" x14ac:dyDescent="0.25">
      <c r="A66" s="6" t="s">
        <v>108</v>
      </c>
      <c r="B66" s="4" t="s">
        <v>5</v>
      </c>
      <c r="C66" s="8">
        <v>115200</v>
      </c>
      <c r="D66" s="8">
        <v>115200</v>
      </c>
      <c r="E66" s="8">
        <v>115200</v>
      </c>
      <c r="I66" s="154"/>
    </row>
    <row r="67" spans="1:9" ht="45" x14ac:dyDescent="0.25">
      <c r="A67" s="6" t="s">
        <v>109</v>
      </c>
      <c r="B67" s="4" t="s">
        <v>6</v>
      </c>
      <c r="C67" s="8">
        <v>630000</v>
      </c>
      <c r="D67" s="8">
        <v>630000</v>
      </c>
      <c r="E67" s="8">
        <v>630000</v>
      </c>
      <c r="I67" s="154"/>
    </row>
    <row r="68" spans="1:9" ht="45" x14ac:dyDescent="0.25">
      <c r="A68" s="6" t="s">
        <v>110</v>
      </c>
      <c r="B68" s="4" t="s">
        <v>111</v>
      </c>
      <c r="C68" s="8">
        <f>5468160+578509</f>
        <v>6046669</v>
      </c>
      <c r="D68" s="8">
        <v>5468160</v>
      </c>
      <c r="E68" s="8">
        <v>5468160</v>
      </c>
      <c r="I68" s="154"/>
    </row>
    <row r="69" spans="1:9" ht="45" x14ac:dyDescent="0.25">
      <c r="A69" s="6" t="s">
        <v>112</v>
      </c>
      <c r="B69" s="4" t="s">
        <v>113</v>
      </c>
      <c r="C69" s="8">
        <v>4131840</v>
      </c>
      <c r="D69" s="8">
        <v>4131840</v>
      </c>
      <c r="E69" s="8">
        <v>4131840</v>
      </c>
      <c r="I69" s="154"/>
    </row>
    <row r="70" spans="1:9" ht="45" x14ac:dyDescent="0.25">
      <c r="A70" s="6" t="s">
        <v>541</v>
      </c>
      <c r="B70" s="4" t="s">
        <v>540</v>
      </c>
      <c r="C70" s="8">
        <v>506547</v>
      </c>
      <c r="D70" s="8"/>
      <c r="E70" s="8"/>
      <c r="I70" s="154"/>
    </row>
    <row r="71" spans="1:9" ht="45" x14ac:dyDescent="0.25">
      <c r="A71" s="6" t="s">
        <v>114</v>
      </c>
      <c r="B71" s="4" t="s">
        <v>115</v>
      </c>
      <c r="C71" s="8">
        <v>1477120</v>
      </c>
      <c r="D71" s="8">
        <v>1477120</v>
      </c>
      <c r="E71" s="8">
        <v>1477120</v>
      </c>
      <c r="I71" s="154"/>
    </row>
    <row r="72" spans="1:9" ht="60" x14ac:dyDescent="0.25">
      <c r="A72" s="6" t="s">
        <v>116</v>
      </c>
      <c r="B72" s="4" t="s">
        <v>2</v>
      </c>
      <c r="C72" s="8">
        <v>384960</v>
      </c>
      <c r="D72" s="8">
        <v>384960</v>
      </c>
      <c r="E72" s="8">
        <v>384960</v>
      </c>
      <c r="I72" s="154"/>
    </row>
    <row r="73" spans="1:9" ht="45" x14ac:dyDescent="0.25">
      <c r="A73" s="6" t="s">
        <v>117</v>
      </c>
      <c r="B73" s="4" t="s">
        <v>118</v>
      </c>
      <c r="C73" s="8">
        <v>5015040</v>
      </c>
      <c r="D73" s="8">
        <v>5015040</v>
      </c>
      <c r="E73" s="8">
        <v>5015040</v>
      </c>
      <c r="I73" s="154"/>
    </row>
    <row r="74" spans="1:9" ht="45" x14ac:dyDescent="0.25">
      <c r="A74" s="6" t="s">
        <v>119</v>
      </c>
      <c r="B74" s="4" t="s">
        <v>120</v>
      </c>
      <c r="C74" s="8">
        <v>2152960</v>
      </c>
      <c r="D74" s="8">
        <v>2152960</v>
      </c>
      <c r="E74" s="8">
        <v>2152960</v>
      </c>
      <c r="I74" s="154"/>
    </row>
    <row r="75" spans="1:9" ht="45" x14ac:dyDescent="0.25">
      <c r="A75" s="6" t="s">
        <v>121</v>
      </c>
      <c r="B75" s="4" t="s">
        <v>122</v>
      </c>
      <c r="C75" s="8">
        <v>5309440</v>
      </c>
      <c r="D75" s="8">
        <v>5309440</v>
      </c>
      <c r="E75" s="8">
        <v>5309440</v>
      </c>
      <c r="I75" s="154"/>
    </row>
    <row r="76" spans="1:9" ht="45" x14ac:dyDescent="0.25">
      <c r="A76" s="6" t="s">
        <v>123</v>
      </c>
      <c r="B76" s="4" t="s">
        <v>124</v>
      </c>
      <c r="C76" s="8">
        <f>2240000+2268160</f>
        <v>4508160</v>
      </c>
      <c r="D76" s="8">
        <f>2240000+2268160</f>
        <v>4508160</v>
      </c>
      <c r="E76" s="8">
        <f>2240000+2268160</f>
        <v>4508160</v>
      </c>
      <c r="I76" s="154"/>
    </row>
    <row r="77" spans="1:9" ht="60" x14ac:dyDescent="0.25">
      <c r="A77" s="6" t="s">
        <v>125</v>
      </c>
      <c r="B77" s="4" t="s">
        <v>7</v>
      </c>
      <c r="C77" s="8">
        <v>505920</v>
      </c>
      <c r="D77" s="8">
        <v>505920</v>
      </c>
      <c r="E77" s="8">
        <v>505920</v>
      </c>
      <c r="I77" s="154"/>
    </row>
    <row r="78" spans="1:9" ht="45" x14ac:dyDescent="0.25">
      <c r="A78" s="6" t="s">
        <v>126</v>
      </c>
      <c r="B78" s="4" t="s">
        <v>127</v>
      </c>
      <c r="C78" s="8">
        <v>3517440</v>
      </c>
      <c r="D78" s="8">
        <v>3517440</v>
      </c>
      <c r="E78" s="8">
        <v>3517440</v>
      </c>
      <c r="I78" s="154"/>
    </row>
    <row r="79" spans="1:9" ht="45" x14ac:dyDescent="0.25">
      <c r="A79" s="6" t="s">
        <v>128</v>
      </c>
      <c r="B79" s="4" t="s">
        <v>129</v>
      </c>
      <c r="C79" s="8">
        <v>4787200</v>
      </c>
      <c r="D79" s="8">
        <v>4787200</v>
      </c>
      <c r="E79" s="8">
        <v>4787200</v>
      </c>
      <c r="I79" s="154"/>
    </row>
    <row r="80" spans="1:9" ht="30" x14ac:dyDescent="0.25">
      <c r="A80" s="6" t="s">
        <v>531</v>
      </c>
      <c r="B80" s="4" t="s">
        <v>532</v>
      </c>
      <c r="C80" s="8">
        <f>3522671.65+8291400+203768+3654360+3500+5000000</f>
        <v>20675699.649999999</v>
      </c>
      <c r="D80" s="8">
        <v>0</v>
      </c>
      <c r="E80" s="8">
        <v>0</v>
      </c>
      <c r="I80" s="154"/>
    </row>
    <row r="81" spans="1:9" ht="47.25" x14ac:dyDescent="0.25">
      <c r="A81" s="12" t="s">
        <v>548</v>
      </c>
      <c r="B81" s="3" t="s">
        <v>130</v>
      </c>
      <c r="C81" s="17">
        <f>C82+C84</f>
        <v>3770000</v>
      </c>
      <c r="D81" s="17">
        <f>D82+D84</f>
        <v>2680000</v>
      </c>
      <c r="E81" s="17">
        <f>E82+E84</f>
        <v>2680000</v>
      </c>
    </row>
    <row r="82" spans="1:9" ht="126" x14ac:dyDescent="0.25">
      <c r="A82" s="12" t="s">
        <v>131</v>
      </c>
      <c r="B82" s="3" t="s">
        <v>132</v>
      </c>
      <c r="C82" s="17">
        <f>C83</f>
        <v>1500000</v>
      </c>
      <c r="D82" s="17">
        <f>D83</f>
        <v>1500000</v>
      </c>
      <c r="E82" s="17">
        <f>E83</f>
        <v>1500000</v>
      </c>
    </row>
    <row r="83" spans="1:9" ht="120.75" customHeight="1" x14ac:dyDescent="0.25">
      <c r="A83" s="169" t="s">
        <v>184</v>
      </c>
      <c r="B83" s="170" t="s">
        <v>8</v>
      </c>
      <c r="C83" s="8">
        <v>1500000</v>
      </c>
      <c r="D83" s="8">
        <v>1500000</v>
      </c>
      <c r="E83" s="8">
        <v>1500000</v>
      </c>
    </row>
    <row r="84" spans="1:9" ht="63" x14ac:dyDescent="0.25">
      <c r="A84" s="138" t="s">
        <v>551</v>
      </c>
      <c r="B84" s="3" t="s">
        <v>133</v>
      </c>
      <c r="C84" s="17">
        <f>C85+C86</f>
        <v>2270000</v>
      </c>
      <c r="D84" s="17">
        <f>D85+D86</f>
        <v>1180000</v>
      </c>
      <c r="E84" s="17">
        <f>E85+E86</f>
        <v>1180000</v>
      </c>
    </row>
    <row r="85" spans="1:9" ht="105" x14ac:dyDescent="0.25">
      <c r="A85" s="6" t="s">
        <v>550</v>
      </c>
      <c r="B85" s="4" t="s">
        <v>9</v>
      </c>
      <c r="C85" s="8">
        <v>100000</v>
      </c>
      <c r="D85" s="8">
        <v>100000</v>
      </c>
      <c r="E85" s="8">
        <v>100000</v>
      </c>
    </row>
    <row r="86" spans="1:9" ht="75" x14ac:dyDescent="0.25">
      <c r="A86" s="6" t="s">
        <v>549</v>
      </c>
      <c r="B86" s="4" t="s">
        <v>10</v>
      </c>
      <c r="C86" s="8">
        <f>1080000+1090000</f>
        <v>2170000</v>
      </c>
      <c r="D86" s="8">
        <v>1080000</v>
      </c>
      <c r="E86" s="8">
        <v>1080000</v>
      </c>
    </row>
    <row r="87" spans="1:9" s="23" customFormat="1" ht="15.75" x14ac:dyDescent="0.25">
      <c r="A87" s="138" t="s">
        <v>555</v>
      </c>
      <c r="B87" s="5" t="s">
        <v>547</v>
      </c>
      <c r="C87" s="17">
        <f>C88+C89</f>
        <v>2330000</v>
      </c>
      <c r="D87" s="17">
        <f t="shared" ref="D87:E87" si="0">D88+D89</f>
        <v>0</v>
      </c>
      <c r="E87" s="17">
        <f t="shared" si="0"/>
        <v>0</v>
      </c>
      <c r="G87" s="151"/>
      <c r="I87" s="24"/>
    </row>
    <row r="88" spans="1:9" ht="90" x14ac:dyDescent="0.25">
      <c r="A88" s="6" t="s">
        <v>554</v>
      </c>
      <c r="B88" s="4" t="s">
        <v>553</v>
      </c>
      <c r="C88" s="8">
        <v>1700000</v>
      </c>
      <c r="D88" s="8">
        <v>0</v>
      </c>
      <c r="E88" s="8">
        <v>0</v>
      </c>
    </row>
    <row r="89" spans="1:9" ht="75" x14ac:dyDescent="0.25">
      <c r="A89" s="6" t="s">
        <v>556</v>
      </c>
      <c r="B89" s="4" t="s">
        <v>552</v>
      </c>
      <c r="C89" s="8">
        <v>630000</v>
      </c>
      <c r="D89" s="8">
        <v>0</v>
      </c>
      <c r="E89" s="8">
        <v>0</v>
      </c>
    </row>
    <row r="90" spans="1:9" ht="15.75" x14ac:dyDescent="0.25">
      <c r="A90" s="138" t="s">
        <v>134</v>
      </c>
      <c r="B90" s="5" t="s">
        <v>135</v>
      </c>
      <c r="C90" s="17">
        <f>C91</f>
        <v>200000</v>
      </c>
      <c r="D90" s="17">
        <f>D91</f>
        <v>200000</v>
      </c>
      <c r="E90" s="17">
        <f>E91</f>
        <v>200000</v>
      </c>
    </row>
    <row r="91" spans="1:9" ht="30" x14ac:dyDescent="0.25">
      <c r="A91" s="6" t="s">
        <v>136</v>
      </c>
      <c r="B91" s="4" t="s">
        <v>11</v>
      </c>
      <c r="C91" s="8">
        <v>200000</v>
      </c>
      <c r="D91" s="8">
        <v>200000</v>
      </c>
      <c r="E91" s="8">
        <v>200000</v>
      </c>
    </row>
    <row r="92" spans="1:9" ht="15.75" x14ac:dyDescent="0.25">
      <c r="A92" s="6"/>
      <c r="B92" s="11" t="s">
        <v>137</v>
      </c>
      <c r="C92" s="17">
        <f>C90+C81+C55+C49+C33+C41+C38+C36+C26+C15+C21+C87</f>
        <v>2242298031.79</v>
      </c>
      <c r="D92" s="17">
        <f t="shared" ref="D92:E92" si="1">D90+D81+D55+D49+D33+D41+D38+D36+D26+D15+D21+D87</f>
        <v>2196868000</v>
      </c>
      <c r="E92" s="17">
        <f t="shared" si="1"/>
        <v>2307440470</v>
      </c>
    </row>
    <row r="93" spans="1:9" ht="15.75" customHeight="1" x14ac:dyDescent="0.25">
      <c r="A93" s="12" t="s">
        <v>138</v>
      </c>
      <c r="B93" s="3" t="s">
        <v>139</v>
      </c>
      <c r="C93" s="17">
        <f>C94+C137+C140+C141+C139</f>
        <v>1917998190.3300002</v>
      </c>
      <c r="D93" s="17">
        <f>D94+D137+D140+D141</f>
        <v>1502544051.5599999</v>
      </c>
      <c r="E93" s="17">
        <f>E94+E137+E140+E141</f>
        <v>1519502028.8899999</v>
      </c>
    </row>
    <row r="94" spans="1:9" ht="47.25" customHeight="1" x14ac:dyDescent="0.25">
      <c r="A94" s="12" t="s">
        <v>140</v>
      </c>
      <c r="B94" s="3" t="s">
        <v>141</v>
      </c>
      <c r="C94" s="17">
        <f>C95+C98+C110+C135</f>
        <v>1903248207.1400001</v>
      </c>
      <c r="D94" s="17">
        <f>D95+D98+D110+D135</f>
        <v>1502544051.5599999</v>
      </c>
      <c r="E94" s="17">
        <f>E95+E98+E110+E135</f>
        <v>1519502028.8899999</v>
      </c>
    </row>
    <row r="95" spans="1:9" ht="31.5" customHeight="1" x14ac:dyDescent="0.25">
      <c r="A95" s="12" t="s">
        <v>480</v>
      </c>
      <c r="B95" s="3" t="s">
        <v>142</v>
      </c>
      <c r="C95" s="17">
        <f>C96+C97</f>
        <v>60768927</v>
      </c>
      <c r="D95" s="17">
        <f>D96+D97</f>
        <v>0</v>
      </c>
      <c r="E95" s="17">
        <f>E96+E97</f>
        <v>0</v>
      </c>
    </row>
    <row r="96" spans="1:9" ht="30" hidden="1" customHeight="1" x14ac:dyDescent="0.25">
      <c r="A96" s="13" t="s">
        <v>481</v>
      </c>
      <c r="B96" s="7" t="s">
        <v>143</v>
      </c>
      <c r="C96" s="111"/>
      <c r="D96" s="111"/>
      <c r="E96" s="14"/>
    </row>
    <row r="97" spans="1:9" ht="60" customHeight="1" x14ac:dyDescent="0.25">
      <c r="A97" s="13" t="s">
        <v>479</v>
      </c>
      <c r="B97" s="7" t="s">
        <v>478</v>
      </c>
      <c r="C97" s="8">
        <f>1521000+1000000+47027000+433427+277500+10510000</f>
        <v>60768927</v>
      </c>
      <c r="D97" s="8">
        <v>0</v>
      </c>
      <c r="E97" s="8">
        <v>0</v>
      </c>
    </row>
    <row r="98" spans="1:9" s="23" customFormat="1" ht="31.5" customHeight="1" x14ac:dyDescent="0.25">
      <c r="A98" s="12" t="s">
        <v>477</v>
      </c>
      <c r="B98" s="3" t="s">
        <v>144</v>
      </c>
      <c r="C98" s="17">
        <f>SUM(C99:C109)</f>
        <v>166203768.97000003</v>
      </c>
      <c r="D98" s="17">
        <f>SUM(D99:D109)</f>
        <v>24170239.190000001</v>
      </c>
      <c r="E98" s="17">
        <f>SUM(E99:E109)</f>
        <v>25905726.52</v>
      </c>
      <c r="G98" s="151"/>
      <c r="I98" s="24"/>
    </row>
    <row r="99" spans="1:9" ht="30" customHeight="1" x14ac:dyDescent="0.25">
      <c r="A99" s="15" t="s">
        <v>482</v>
      </c>
      <c r="B99" s="7" t="s">
        <v>145</v>
      </c>
      <c r="C99" s="8">
        <f>2493000+2493510</f>
        <v>4986510</v>
      </c>
      <c r="D99" s="8">
        <v>0</v>
      </c>
      <c r="E99" s="8">
        <v>0</v>
      </c>
    </row>
    <row r="100" spans="1:9" ht="75.75" customHeight="1" x14ac:dyDescent="0.25">
      <c r="A100" s="13" t="s">
        <v>485</v>
      </c>
      <c r="B100" s="7" t="s">
        <v>486</v>
      </c>
      <c r="C100" s="8">
        <v>24744000</v>
      </c>
      <c r="D100" s="8">
        <v>0</v>
      </c>
      <c r="E100" s="8">
        <v>0</v>
      </c>
    </row>
    <row r="101" spans="1:9" ht="60" customHeight="1" x14ac:dyDescent="0.25">
      <c r="A101" s="15" t="s">
        <v>475</v>
      </c>
      <c r="B101" s="7" t="s">
        <v>476</v>
      </c>
      <c r="C101" s="8">
        <v>1474363</v>
      </c>
      <c r="D101" s="8">
        <v>0</v>
      </c>
      <c r="E101" s="8">
        <v>0</v>
      </c>
    </row>
    <row r="102" spans="1:9" ht="90" x14ac:dyDescent="0.25">
      <c r="A102" s="155" t="s">
        <v>533</v>
      </c>
      <c r="B102" s="156" t="s">
        <v>488</v>
      </c>
      <c r="C102" s="175">
        <v>45390577.240000002</v>
      </c>
      <c r="D102" s="8">
        <v>24170239.190000001</v>
      </c>
      <c r="E102" s="8">
        <v>25905726.52</v>
      </c>
    </row>
    <row r="103" spans="1:9" ht="45" customHeight="1" x14ac:dyDescent="0.25">
      <c r="A103" s="155" t="s">
        <v>543</v>
      </c>
      <c r="B103" s="156" t="s">
        <v>542</v>
      </c>
      <c r="C103" s="175">
        <v>2025466</v>
      </c>
      <c r="D103" s="8">
        <v>0</v>
      </c>
      <c r="E103" s="8">
        <v>0</v>
      </c>
    </row>
    <row r="104" spans="1:9" ht="60" x14ac:dyDescent="0.25">
      <c r="A104" s="155" t="s">
        <v>545</v>
      </c>
      <c r="B104" s="156" t="s">
        <v>544</v>
      </c>
      <c r="C104" s="175">
        <v>7674372.6500000004</v>
      </c>
      <c r="D104" s="8"/>
      <c r="E104" s="8"/>
    </row>
    <row r="105" spans="1:9" ht="45" hidden="1" customHeight="1" x14ac:dyDescent="0.25">
      <c r="A105" s="155" t="s">
        <v>146</v>
      </c>
      <c r="B105" s="156" t="s">
        <v>147</v>
      </c>
      <c r="C105" s="175"/>
      <c r="D105" s="8"/>
      <c r="E105" s="8"/>
    </row>
    <row r="106" spans="1:9" ht="30" hidden="1" x14ac:dyDescent="0.25">
      <c r="A106" s="15" t="s">
        <v>148</v>
      </c>
      <c r="B106" s="7" t="s">
        <v>149</v>
      </c>
      <c r="C106" s="8"/>
      <c r="D106" s="8"/>
      <c r="E106" s="8"/>
    </row>
    <row r="107" spans="1:9" ht="45" hidden="1" customHeight="1" x14ac:dyDescent="0.25">
      <c r="A107" s="155" t="s">
        <v>150</v>
      </c>
      <c r="B107" s="156" t="s">
        <v>151</v>
      </c>
      <c r="C107" s="175"/>
      <c r="D107" s="175"/>
      <c r="E107" s="51"/>
    </row>
    <row r="108" spans="1:9" ht="45" x14ac:dyDescent="0.25">
      <c r="A108" s="155" t="s">
        <v>487</v>
      </c>
      <c r="B108" s="156" t="s">
        <v>530</v>
      </c>
      <c r="C108" s="175">
        <v>19908480.079999998</v>
      </c>
      <c r="D108" s="175">
        <v>0</v>
      </c>
      <c r="E108" s="51">
        <v>0</v>
      </c>
    </row>
    <row r="109" spans="1:9" ht="75" x14ac:dyDescent="0.25">
      <c r="A109" s="15" t="s">
        <v>483</v>
      </c>
      <c r="B109" s="7" t="s">
        <v>484</v>
      </c>
      <c r="C109" s="8">
        <v>60000000</v>
      </c>
      <c r="D109" s="8">
        <v>0</v>
      </c>
      <c r="E109" s="51">
        <v>0</v>
      </c>
    </row>
    <row r="110" spans="1:9" s="78" customFormat="1" ht="31.5" x14ac:dyDescent="0.25">
      <c r="A110" s="12" t="s">
        <v>152</v>
      </c>
      <c r="B110" s="3" t="s">
        <v>153</v>
      </c>
      <c r="C110" s="17">
        <f>SUM(C111:C134)</f>
        <v>1669688392.97</v>
      </c>
      <c r="D110" s="17">
        <f>SUM(D111:D134)</f>
        <v>1478373812.3699999</v>
      </c>
      <c r="E110" s="17">
        <f>SUM(E111:E134)</f>
        <v>1493596302.3699999</v>
      </c>
      <c r="G110" s="151"/>
      <c r="I110" s="157"/>
    </row>
    <row r="111" spans="1:9" ht="60" x14ac:dyDescent="0.25">
      <c r="A111" s="74" t="s">
        <v>489</v>
      </c>
      <c r="B111" s="134" t="s">
        <v>154</v>
      </c>
      <c r="C111" s="8">
        <v>274682.43</v>
      </c>
      <c r="D111" s="8">
        <v>274682</v>
      </c>
      <c r="E111" s="8">
        <v>274682</v>
      </c>
    </row>
    <row r="112" spans="1:9" ht="105" x14ac:dyDescent="0.25">
      <c r="A112" s="74" t="s">
        <v>490</v>
      </c>
      <c r="B112" s="134" t="s">
        <v>491</v>
      </c>
      <c r="C112" s="8">
        <f>632099340+17937791</f>
        <v>650037131</v>
      </c>
      <c r="D112" s="8">
        <v>687707210</v>
      </c>
      <c r="E112" s="8">
        <v>704151110</v>
      </c>
    </row>
    <row r="113" spans="1:17" ht="120" x14ac:dyDescent="0.25">
      <c r="A113" s="74" t="s">
        <v>492</v>
      </c>
      <c r="B113" s="134" t="s">
        <v>493</v>
      </c>
      <c r="C113" s="8">
        <f>55555960+1228460</f>
        <v>56784420</v>
      </c>
      <c r="D113" s="8">
        <v>55555960</v>
      </c>
      <c r="E113" s="8">
        <v>55555960</v>
      </c>
    </row>
    <row r="114" spans="1:17" ht="45" x14ac:dyDescent="0.25">
      <c r="A114" s="74" t="s">
        <v>494</v>
      </c>
      <c r="B114" s="134" t="s">
        <v>495</v>
      </c>
      <c r="C114" s="8">
        <v>4462545.2</v>
      </c>
      <c r="D114" s="8">
        <v>3898575.82</v>
      </c>
      <c r="E114" s="8">
        <v>3898575.82</v>
      </c>
    </row>
    <row r="115" spans="1:17" ht="90" x14ac:dyDescent="0.25">
      <c r="A115" s="74" t="s">
        <v>496</v>
      </c>
      <c r="B115" s="134" t="s">
        <v>497</v>
      </c>
      <c r="C115" s="8">
        <f>10955544.93+830266.79</f>
        <v>11785811.719999999</v>
      </c>
      <c r="D115" s="8">
        <v>10770270</v>
      </c>
      <c r="E115" s="8">
        <v>10770270</v>
      </c>
    </row>
    <row r="116" spans="1:17" ht="120" x14ac:dyDescent="0.25">
      <c r="A116" s="74" t="s">
        <v>498</v>
      </c>
      <c r="B116" s="135" t="s">
        <v>499</v>
      </c>
      <c r="C116" s="8">
        <v>59625</v>
      </c>
      <c r="D116" s="8">
        <v>59625</v>
      </c>
      <c r="E116" s="8">
        <v>59625</v>
      </c>
    </row>
    <row r="117" spans="1:17" ht="45" x14ac:dyDescent="0.25">
      <c r="A117" s="74" t="s">
        <v>155</v>
      </c>
      <c r="B117" s="134" t="s">
        <v>12</v>
      </c>
      <c r="C117" s="8">
        <v>276074110</v>
      </c>
      <c r="D117" s="8">
        <v>198888910</v>
      </c>
      <c r="E117" s="8">
        <v>197667500</v>
      </c>
    </row>
    <row r="118" spans="1:17" ht="60" x14ac:dyDescent="0.25">
      <c r="A118" s="74" t="s">
        <v>500</v>
      </c>
      <c r="B118" s="134" t="s">
        <v>501</v>
      </c>
      <c r="C118" s="8">
        <v>1080244.3799999999</v>
      </c>
      <c r="D118" s="8">
        <v>958087.92</v>
      </c>
      <c r="E118" s="8">
        <v>958087.92</v>
      </c>
    </row>
    <row r="119" spans="1:17" ht="45" x14ac:dyDescent="0.25">
      <c r="A119" s="74" t="s">
        <v>502</v>
      </c>
      <c r="B119" s="136" t="s">
        <v>503</v>
      </c>
      <c r="C119" s="8">
        <v>2513387.2999999998</v>
      </c>
      <c r="D119" s="8">
        <v>2349490</v>
      </c>
      <c r="E119" s="8">
        <v>2349490</v>
      </c>
    </row>
    <row r="120" spans="1:17" ht="60" x14ac:dyDescent="0.25">
      <c r="A120" s="74" t="s">
        <v>504</v>
      </c>
      <c r="B120" s="134" t="s">
        <v>505</v>
      </c>
      <c r="C120" s="8">
        <v>1128807.29</v>
      </c>
      <c r="D120" s="8">
        <v>1032469</v>
      </c>
      <c r="E120" s="8">
        <v>1032469</v>
      </c>
    </row>
    <row r="121" spans="1:17" s="20" customFormat="1" ht="30" x14ac:dyDescent="0.25">
      <c r="A121" s="74" t="s">
        <v>506</v>
      </c>
      <c r="B121" s="134" t="s">
        <v>13</v>
      </c>
      <c r="C121" s="8">
        <v>1340692.42</v>
      </c>
      <c r="D121" s="8">
        <v>604274</v>
      </c>
      <c r="E121" s="8">
        <v>604274</v>
      </c>
      <c r="F121" s="1"/>
      <c r="G121" s="147"/>
      <c r="H121" s="1"/>
      <c r="J121" s="1"/>
      <c r="K121" s="1"/>
      <c r="L121" s="1"/>
      <c r="M121" s="1"/>
      <c r="N121" s="1"/>
      <c r="O121" s="1"/>
      <c r="P121" s="1"/>
      <c r="Q121" s="1"/>
    </row>
    <row r="122" spans="1:17" s="20" customFormat="1" ht="45" x14ac:dyDescent="0.25">
      <c r="A122" s="74" t="s">
        <v>507</v>
      </c>
      <c r="B122" s="134" t="s">
        <v>508</v>
      </c>
      <c r="C122" s="8">
        <f>1346738.63+103251.25</f>
        <v>1449989.88</v>
      </c>
      <c r="D122" s="8">
        <v>1346738.63</v>
      </c>
      <c r="E122" s="8">
        <v>1346738.63</v>
      </c>
      <c r="F122" s="1"/>
      <c r="G122" s="147"/>
      <c r="H122" s="1"/>
      <c r="J122" s="1"/>
      <c r="K122" s="1"/>
      <c r="L122" s="1"/>
      <c r="M122" s="1"/>
      <c r="N122" s="1"/>
      <c r="O122" s="1"/>
      <c r="P122" s="1"/>
      <c r="Q122" s="1"/>
    </row>
    <row r="123" spans="1:17" s="20" customFormat="1" ht="60" x14ac:dyDescent="0.25">
      <c r="A123" s="74" t="s">
        <v>509</v>
      </c>
      <c r="B123" s="134" t="s">
        <v>510</v>
      </c>
      <c r="C123" s="8">
        <f>399982530+12923740</f>
        <v>412906270</v>
      </c>
      <c r="D123" s="8">
        <v>399982530</v>
      </c>
      <c r="E123" s="8">
        <v>399982530</v>
      </c>
      <c r="F123" s="1"/>
      <c r="G123" s="147"/>
      <c r="H123" s="1"/>
      <c r="J123" s="1"/>
      <c r="K123" s="1"/>
      <c r="L123" s="1"/>
      <c r="M123" s="1"/>
      <c r="N123" s="1"/>
      <c r="O123" s="1"/>
      <c r="P123" s="1"/>
      <c r="Q123" s="1"/>
    </row>
    <row r="124" spans="1:17" s="20" customFormat="1" ht="105" x14ac:dyDescent="0.25">
      <c r="A124" s="74" t="s">
        <v>474</v>
      </c>
      <c r="B124" s="158" t="s">
        <v>511</v>
      </c>
      <c r="C124" s="8">
        <v>2079072.22</v>
      </c>
      <c r="D124" s="8">
        <v>0</v>
      </c>
      <c r="E124" s="8">
        <v>0</v>
      </c>
      <c r="F124" s="1"/>
      <c r="G124" s="147"/>
      <c r="H124" s="1"/>
      <c r="J124" s="1"/>
      <c r="K124" s="1"/>
      <c r="L124" s="1"/>
      <c r="M124" s="1"/>
      <c r="N124" s="1"/>
      <c r="O124" s="1"/>
      <c r="P124" s="1"/>
      <c r="Q124" s="1"/>
    </row>
    <row r="125" spans="1:17" s="20" customFormat="1" ht="75" x14ac:dyDescent="0.25">
      <c r="A125" s="74" t="s">
        <v>512</v>
      </c>
      <c r="B125" s="134" t="s">
        <v>168</v>
      </c>
      <c r="C125" s="8">
        <v>55621368</v>
      </c>
      <c r="D125" s="8">
        <v>0</v>
      </c>
      <c r="E125" s="8">
        <v>0</v>
      </c>
      <c r="F125" s="1"/>
      <c r="G125" s="147"/>
      <c r="H125" s="1"/>
      <c r="J125" s="1"/>
      <c r="K125" s="1"/>
      <c r="L125" s="1"/>
      <c r="M125" s="1"/>
      <c r="N125" s="1"/>
      <c r="O125" s="1"/>
      <c r="P125" s="1"/>
      <c r="Q125" s="1"/>
    </row>
    <row r="126" spans="1:17" s="20" customFormat="1" ht="90" x14ac:dyDescent="0.25">
      <c r="A126" s="74" t="s">
        <v>513</v>
      </c>
      <c r="B126" s="135" t="s">
        <v>514</v>
      </c>
      <c r="C126" s="8">
        <v>3297600</v>
      </c>
      <c r="D126" s="8">
        <v>3297600</v>
      </c>
      <c r="E126" s="8">
        <v>3297600</v>
      </c>
      <c r="F126" s="1"/>
      <c r="G126" s="147"/>
      <c r="J126" s="1"/>
      <c r="K126" s="1"/>
      <c r="L126" s="1"/>
      <c r="M126" s="1"/>
      <c r="N126" s="1"/>
      <c r="O126" s="1"/>
      <c r="P126" s="1"/>
      <c r="Q126" s="1"/>
    </row>
    <row r="127" spans="1:17" s="20" customFormat="1" ht="60" x14ac:dyDescent="0.25">
      <c r="A127" s="74" t="s">
        <v>515</v>
      </c>
      <c r="B127" s="134" t="s">
        <v>516</v>
      </c>
      <c r="C127" s="8">
        <v>43274300</v>
      </c>
      <c r="D127" s="8">
        <v>31641200</v>
      </c>
      <c r="E127" s="8">
        <v>31641200</v>
      </c>
      <c r="F127" s="1"/>
      <c r="G127" s="147"/>
      <c r="J127" s="1"/>
      <c r="K127" s="1"/>
      <c r="L127" s="1"/>
      <c r="M127" s="1"/>
      <c r="N127" s="1"/>
      <c r="O127" s="1"/>
      <c r="P127" s="1"/>
      <c r="Q127" s="1"/>
    </row>
    <row r="128" spans="1:17" s="20" customFormat="1" ht="45" x14ac:dyDescent="0.25">
      <c r="A128" s="74" t="s">
        <v>517</v>
      </c>
      <c r="B128" s="137" t="s">
        <v>518</v>
      </c>
      <c r="C128" s="8">
        <v>9730000</v>
      </c>
      <c r="D128" s="8">
        <v>0</v>
      </c>
      <c r="E128" s="8">
        <v>0</v>
      </c>
      <c r="F128" s="1"/>
      <c r="G128" s="147"/>
      <c r="H128" s="1"/>
      <c r="J128" s="1"/>
      <c r="K128" s="1"/>
      <c r="L128" s="1"/>
      <c r="M128" s="1"/>
      <c r="N128" s="1"/>
      <c r="O128" s="1"/>
      <c r="P128" s="1"/>
      <c r="Q128" s="1"/>
    </row>
    <row r="129" spans="1:17" s="20" customFormat="1" ht="60" x14ac:dyDescent="0.25">
      <c r="A129" s="74" t="s">
        <v>519</v>
      </c>
      <c r="B129" s="137" t="s">
        <v>520</v>
      </c>
      <c r="C129" s="8">
        <v>11938960.5</v>
      </c>
      <c r="D129" s="8">
        <v>0</v>
      </c>
      <c r="E129" s="8">
        <v>0</v>
      </c>
      <c r="F129" s="1"/>
      <c r="G129" s="147"/>
      <c r="H129" s="1"/>
      <c r="J129" s="1"/>
      <c r="K129" s="1"/>
      <c r="L129" s="1"/>
      <c r="M129" s="1"/>
      <c r="N129" s="1"/>
      <c r="O129" s="1"/>
      <c r="P129" s="1"/>
      <c r="Q129" s="1"/>
    </row>
    <row r="130" spans="1:17" s="20" customFormat="1" ht="60" x14ac:dyDescent="0.25">
      <c r="A130" s="74" t="s">
        <v>521</v>
      </c>
      <c r="B130" s="137" t="s">
        <v>522</v>
      </c>
      <c r="C130" s="8">
        <v>67066000</v>
      </c>
      <c r="D130" s="8">
        <v>25970000</v>
      </c>
      <c r="E130" s="8">
        <v>25970000</v>
      </c>
      <c r="F130" s="1"/>
      <c r="G130" s="147"/>
      <c r="H130" s="1"/>
      <c r="J130" s="1"/>
      <c r="K130" s="1"/>
      <c r="L130" s="1"/>
      <c r="M130" s="1"/>
      <c r="N130" s="1"/>
      <c r="O130" s="1"/>
      <c r="P130" s="1"/>
      <c r="Q130" s="1"/>
    </row>
    <row r="131" spans="1:17" s="20" customFormat="1" ht="135" x14ac:dyDescent="0.25">
      <c r="A131" s="74" t="s">
        <v>523</v>
      </c>
      <c r="B131" s="137" t="s">
        <v>524</v>
      </c>
      <c r="C131" s="8">
        <v>6895821</v>
      </c>
      <c r="D131" s="8">
        <v>0</v>
      </c>
      <c r="E131" s="8">
        <v>0</v>
      </c>
      <c r="F131" s="1"/>
      <c r="G131" s="147"/>
      <c r="H131" s="1"/>
      <c r="J131" s="1"/>
      <c r="K131" s="1"/>
      <c r="L131" s="1"/>
      <c r="M131" s="1"/>
      <c r="N131" s="1"/>
      <c r="O131" s="1"/>
      <c r="P131" s="1"/>
      <c r="Q131" s="1"/>
    </row>
    <row r="132" spans="1:17" s="20" customFormat="1" ht="90" x14ac:dyDescent="0.25">
      <c r="A132" s="74" t="s">
        <v>525</v>
      </c>
      <c r="B132" s="135" t="s">
        <v>534</v>
      </c>
      <c r="C132" s="8">
        <f>6258000-4261730</f>
        <v>1996270</v>
      </c>
      <c r="D132" s="8">
        <v>6258000</v>
      </c>
      <c r="E132" s="8">
        <v>6258000</v>
      </c>
      <c r="F132" s="1"/>
      <c r="G132" s="147"/>
      <c r="H132" s="1"/>
      <c r="J132" s="1"/>
      <c r="K132" s="1"/>
      <c r="L132" s="1"/>
      <c r="M132" s="1"/>
      <c r="N132" s="1"/>
      <c r="O132" s="1"/>
      <c r="P132" s="1"/>
      <c r="Q132" s="1"/>
    </row>
    <row r="133" spans="1:17" s="20" customFormat="1" ht="75" x14ac:dyDescent="0.25">
      <c r="A133" s="74" t="s">
        <v>526</v>
      </c>
      <c r="B133" s="135" t="s">
        <v>527</v>
      </c>
      <c r="C133" s="8">
        <v>113094.63</v>
      </c>
      <c r="D133" s="17"/>
      <c r="E133" s="17"/>
      <c r="F133" s="1"/>
      <c r="G133" s="147"/>
      <c r="H133" s="1"/>
      <c r="J133" s="1"/>
      <c r="K133" s="1"/>
      <c r="L133" s="1"/>
      <c r="M133" s="1"/>
      <c r="N133" s="1"/>
      <c r="O133" s="1"/>
      <c r="P133" s="1"/>
      <c r="Q133" s="1"/>
    </row>
    <row r="134" spans="1:17" s="20" customFormat="1" ht="135" x14ac:dyDescent="0.25">
      <c r="A134" s="74" t="s">
        <v>528</v>
      </c>
      <c r="B134" s="7" t="s">
        <v>529</v>
      </c>
      <c r="C134" s="8">
        <v>47778190</v>
      </c>
      <c r="D134" s="8">
        <v>47778190</v>
      </c>
      <c r="E134" s="8">
        <v>47778190</v>
      </c>
      <c r="F134" s="1"/>
      <c r="G134" s="147"/>
      <c r="H134" s="1"/>
      <c r="J134" s="1"/>
      <c r="K134" s="1"/>
      <c r="L134" s="1"/>
      <c r="M134" s="1"/>
      <c r="N134" s="1"/>
      <c r="O134" s="1"/>
      <c r="P134" s="1"/>
      <c r="Q134" s="1"/>
    </row>
    <row r="135" spans="1:17" s="78" customFormat="1" ht="15.75" customHeight="1" x14ac:dyDescent="0.25">
      <c r="A135" s="12" t="s">
        <v>156</v>
      </c>
      <c r="B135" s="3" t="s">
        <v>157</v>
      </c>
      <c r="C135" s="17">
        <f>SUM(C136:C136)</f>
        <v>6587118.2000000002</v>
      </c>
      <c r="D135" s="17">
        <f>SUM(D136:D136)</f>
        <v>0</v>
      </c>
      <c r="E135" s="17">
        <f>SUM(E136:E136)</f>
        <v>0</v>
      </c>
      <c r="G135" s="151"/>
      <c r="I135" s="157"/>
    </row>
    <row r="136" spans="1:17" ht="75.75" customHeight="1" x14ac:dyDescent="0.25">
      <c r="A136" s="13" t="s">
        <v>158</v>
      </c>
      <c r="B136" s="7" t="s">
        <v>159</v>
      </c>
      <c r="C136" s="8">
        <v>6587118.2000000002</v>
      </c>
      <c r="D136" s="8">
        <v>0</v>
      </c>
      <c r="E136" s="159">
        <v>0</v>
      </c>
    </row>
    <row r="137" spans="1:17" s="23" customFormat="1" ht="15.75" customHeight="1" x14ac:dyDescent="0.25">
      <c r="A137" s="12" t="s">
        <v>538</v>
      </c>
      <c r="B137" s="3" t="s">
        <v>160</v>
      </c>
      <c r="C137" s="17">
        <f>C138</f>
        <v>11145010</v>
      </c>
      <c r="D137" s="17">
        <f>D138</f>
        <v>0</v>
      </c>
      <c r="E137" s="17">
        <f>E138</f>
        <v>0</v>
      </c>
      <c r="G137" s="151"/>
      <c r="I137" s="24"/>
    </row>
    <row r="138" spans="1:17" ht="30" customHeight="1" x14ac:dyDescent="0.25">
      <c r="A138" s="13" t="s">
        <v>537</v>
      </c>
      <c r="B138" s="7" t="s">
        <v>14</v>
      </c>
      <c r="C138" s="8">
        <f>9250000+1895010</f>
        <v>11145010</v>
      </c>
      <c r="D138" s="17"/>
      <c r="E138" s="160"/>
      <c r="H138" s="20"/>
    </row>
    <row r="139" spans="1:17" ht="50.25" customHeight="1" x14ac:dyDescent="0.25">
      <c r="A139" s="12" t="s">
        <v>536</v>
      </c>
      <c r="B139" s="3" t="s">
        <v>535</v>
      </c>
      <c r="C139" s="17">
        <f>376255.2+10000000+2186753.16+266625.22+1254745.52+2006945.83+8000000+375536.72</f>
        <v>24466861.649999999</v>
      </c>
      <c r="D139" s="17"/>
      <c r="E139" s="160"/>
      <c r="H139" s="20"/>
    </row>
    <row r="140" spans="1:17" s="23" customFormat="1" ht="63" customHeight="1" x14ac:dyDescent="0.25">
      <c r="A140" s="12" t="s">
        <v>539</v>
      </c>
      <c r="B140" s="3" t="s">
        <v>161</v>
      </c>
      <c r="C140" s="17">
        <f>54.07+4000188.78</f>
        <v>4000242.8499999996</v>
      </c>
      <c r="D140" s="17"/>
      <c r="E140" s="160"/>
      <c r="G140" s="151"/>
      <c r="I140" s="24"/>
    </row>
    <row r="141" spans="1:17" s="23" customFormat="1" ht="63" customHeight="1" x14ac:dyDescent="0.25">
      <c r="A141" s="12" t="s">
        <v>162</v>
      </c>
      <c r="B141" s="3" t="s">
        <v>163</v>
      </c>
      <c r="C141" s="17">
        <f>-3654360-15510277.7-54.07-112384.02-2186753.16-266625.22-3500-23716.14-3104461</f>
        <v>-24862131.309999999</v>
      </c>
      <c r="D141" s="17"/>
      <c r="E141" s="17"/>
      <c r="G141" s="151"/>
      <c r="I141" s="24"/>
    </row>
    <row r="142" spans="1:17" s="78" customFormat="1" ht="15.75" x14ac:dyDescent="0.25">
      <c r="A142" s="161"/>
      <c r="B142" s="162" t="s">
        <v>164</v>
      </c>
      <c r="C142" s="53">
        <f>C92+C93</f>
        <v>4160296222.1199999</v>
      </c>
      <c r="D142" s="53">
        <f>D92+D93</f>
        <v>3699412051.5599999</v>
      </c>
      <c r="E142" s="53">
        <f>E92+E93</f>
        <v>3826942498.8899999</v>
      </c>
      <c r="G142" s="151"/>
      <c r="I142" s="157"/>
    </row>
    <row r="146" spans="1:5" hidden="1" x14ac:dyDescent="0.25">
      <c r="A146" s="163"/>
      <c r="B146" s="164" t="s">
        <v>165</v>
      </c>
      <c r="C146" s="165">
        <f>C15+C21+C26+C36+C38</f>
        <v>1737459936.1400001</v>
      </c>
      <c r="D146" s="165">
        <f>D15+D21+D26+D36+D38</f>
        <v>1719914160</v>
      </c>
      <c r="E146" s="165">
        <f>E15+E21+E26+E36+E38</f>
        <v>1829834030</v>
      </c>
    </row>
    <row r="147" spans="1:5" hidden="1" x14ac:dyDescent="0.25">
      <c r="B147" s="2" t="s">
        <v>166</v>
      </c>
      <c r="C147" s="166">
        <f>C41+C49+C55+C81</f>
        <v>502130095.64999998</v>
      </c>
      <c r="D147" s="166">
        <f>D41+D49+D55+D81</f>
        <v>476575840</v>
      </c>
      <c r="E147" s="166">
        <f>E41+E49+E55+E81</f>
        <v>477228440</v>
      </c>
    </row>
    <row r="148" spans="1:5" hidden="1" x14ac:dyDescent="0.25">
      <c r="B148" s="2" t="s">
        <v>167</v>
      </c>
      <c r="C148" s="166">
        <f>C146+C147</f>
        <v>2239590031.79</v>
      </c>
      <c r="D148" s="166">
        <f>D146+D147</f>
        <v>2196490000</v>
      </c>
      <c r="E148" s="166">
        <f>E146+E147</f>
        <v>2307062470</v>
      </c>
    </row>
    <row r="149" spans="1:5" x14ac:dyDescent="0.25">
      <c r="C149" s="166"/>
      <c r="D149" s="166"/>
      <c r="E149" s="166"/>
    </row>
  </sheetData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ageMargins left="0.62992125984251968" right="0.23622047244094491" top="0.35433070866141736" bottom="0.35433070866141736" header="0.31496062992125984" footer="0.31496062992125984"/>
  <pageSetup paperSize="9" scale="6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0"/>
  <sheetViews>
    <sheetView zoomScaleNormal="100" workbookViewId="0">
      <selection activeCell="G7" sqref="G7"/>
    </sheetView>
  </sheetViews>
  <sheetFormatPr defaultRowHeight="15" x14ac:dyDescent="0.2"/>
  <cols>
    <col min="1" max="1" width="56.42578125" style="35" customWidth="1"/>
    <col min="2" max="2" width="5.85546875" style="36" customWidth="1"/>
    <col min="3" max="3" width="5.140625" style="36" customWidth="1"/>
    <col min="4" max="4" width="15.85546875" style="36" customWidth="1"/>
    <col min="5" max="5" width="8.5703125" style="36" customWidth="1"/>
    <col min="6" max="6" width="23.42578125" style="37" customWidth="1"/>
    <col min="7" max="7" width="19.42578125" style="37" customWidth="1"/>
    <col min="8" max="8" width="21.85546875" style="37" customWidth="1"/>
    <col min="9" max="9" width="17.28515625" style="110" customWidth="1"/>
    <col min="10" max="10" width="13.42578125" style="141" customWidth="1"/>
    <col min="11" max="11" width="14.28515625" style="141" customWidth="1"/>
    <col min="12" max="12" width="12.7109375" style="141" customWidth="1"/>
    <col min="13" max="13" width="13.42578125" style="141" customWidth="1"/>
    <col min="14" max="14" width="12.28515625" style="141" customWidth="1"/>
    <col min="15" max="16" width="15.85546875" style="141" customWidth="1"/>
    <col min="17" max="17" width="12.140625" style="141" customWidth="1"/>
    <col min="18" max="19" width="12.85546875" style="141" customWidth="1"/>
    <col min="20" max="20" width="12.5703125" style="141" customWidth="1"/>
    <col min="21" max="21" width="12.5703125" style="69" customWidth="1"/>
    <col min="22" max="22" width="7.5703125" style="69" customWidth="1"/>
    <col min="23" max="23" width="12.7109375" style="37" customWidth="1"/>
    <col min="24" max="24" width="16.7109375" style="37" customWidth="1"/>
    <col min="25" max="25" width="15.42578125" style="37" customWidth="1"/>
    <col min="26" max="26" width="17" style="37" customWidth="1"/>
    <col min="27" max="27" width="12.5703125" style="37" customWidth="1"/>
    <col min="28" max="28" width="13.85546875" style="37" customWidth="1"/>
    <col min="29" max="29" width="15.140625" style="37" customWidth="1"/>
    <col min="30" max="30" width="15.42578125" style="37" bestFit="1" customWidth="1"/>
    <col min="31" max="31" width="16.7109375" style="37" bestFit="1" customWidth="1"/>
    <col min="32" max="32" width="15.42578125" style="37" bestFit="1" customWidth="1"/>
    <col min="33" max="33" width="11.5703125" style="35" customWidth="1"/>
    <col min="34" max="34" width="10.28515625" style="35" bestFit="1" customWidth="1"/>
    <col min="35" max="35" width="22.42578125" style="35" customWidth="1"/>
    <col min="36" max="36" width="12.28515625" style="35" bestFit="1" customWidth="1"/>
    <col min="37" max="37" width="9.140625" style="35"/>
    <col min="38" max="38" width="9.7109375" style="35" bestFit="1" customWidth="1"/>
    <col min="39" max="225" width="9.140625" style="35"/>
    <col min="226" max="226" width="61" style="35" customWidth="1"/>
    <col min="227" max="227" width="9.140625" style="35" customWidth="1"/>
    <col min="228" max="228" width="5.85546875" style="35" customWidth="1"/>
    <col min="229" max="229" width="5.140625" style="35" customWidth="1"/>
    <col min="230" max="230" width="18.140625" style="35" customWidth="1"/>
    <col min="231" max="231" width="8.5703125" style="35" customWidth="1"/>
    <col min="232" max="232" width="27.140625" style="35" customWidth="1"/>
    <col min="233" max="239" width="0" style="35" hidden="1" customWidth="1"/>
    <col min="240" max="240" width="12.42578125" style="35" bestFit="1" customWidth="1"/>
    <col min="241" max="241" width="13.28515625" style="35" bestFit="1" customWidth="1"/>
    <col min="242" max="242" width="46.7109375" style="35" bestFit="1" customWidth="1"/>
    <col min="243" max="481" width="9.140625" style="35"/>
    <col min="482" max="482" width="61" style="35" customWidth="1"/>
    <col min="483" max="483" width="9.140625" style="35" customWidth="1"/>
    <col min="484" max="484" width="5.85546875" style="35" customWidth="1"/>
    <col min="485" max="485" width="5.140625" style="35" customWidth="1"/>
    <col min="486" max="486" width="18.140625" style="35" customWidth="1"/>
    <col min="487" max="487" width="8.5703125" style="35" customWidth="1"/>
    <col min="488" max="488" width="27.140625" style="35" customWidth="1"/>
    <col min="489" max="495" width="0" style="35" hidden="1" customWidth="1"/>
    <col min="496" max="496" width="12.42578125" style="35" bestFit="1" customWidth="1"/>
    <col min="497" max="497" width="13.28515625" style="35" bestFit="1" customWidth="1"/>
    <col min="498" max="498" width="46.7109375" style="35" bestFit="1" customWidth="1"/>
    <col min="499" max="737" width="9.140625" style="35"/>
    <col min="738" max="738" width="61" style="35" customWidth="1"/>
    <col min="739" max="739" width="9.140625" style="35" customWidth="1"/>
    <col min="740" max="740" width="5.85546875" style="35" customWidth="1"/>
    <col min="741" max="741" width="5.140625" style="35" customWidth="1"/>
    <col min="742" max="742" width="18.140625" style="35" customWidth="1"/>
    <col min="743" max="743" width="8.5703125" style="35" customWidth="1"/>
    <col min="744" max="744" width="27.140625" style="35" customWidth="1"/>
    <col min="745" max="751" width="0" style="35" hidden="1" customWidth="1"/>
    <col min="752" max="752" width="12.42578125" style="35" bestFit="1" customWidth="1"/>
    <col min="753" max="753" width="13.28515625" style="35" bestFit="1" customWidth="1"/>
    <col min="754" max="754" width="46.7109375" style="35" bestFit="1" customWidth="1"/>
    <col min="755" max="993" width="9.140625" style="35"/>
    <col min="994" max="994" width="61" style="35" customWidth="1"/>
    <col min="995" max="995" width="9.140625" style="35" customWidth="1"/>
    <col min="996" max="996" width="5.85546875" style="35" customWidth="1"/>
    <col min="997" max="997" width="5.140625" style="35" customWidth="1"/>
    <col min="998" max="998" width="18.140625" style="35" customWidth="1"/>
    <col min="999" max="999" width="8.5703125" style="35" customWidth="1"/>
    <col min="1000" max="1000" width="27.140625" style="35" customWidth="1"/>
    <col min="1001" max="1007" width="0" style="35" hidden="1" customWidth="1"/>
    <col min="1008" max="1008" width="12.42578125" style="35" bestFit="1" customWidth="1"/>
    <col min="1009" max="1009" width="13.28515625" style="35" bestFit="1" customWidth="1"/>
    <col min="1010" max="1010" width="46.7109375" style="35" bestFit="1" customWidth="1"/>
    <col min="1011" max="1249" width="9.140625" style="35"/>
    <col min="1250" max="1250" width="61" style="35" customWidth="1"/>
    <col min="1251" max="1251" width="9.140625" style="35" customWidth="1"/>
    <col min="1252" max="1252" width="5.85546875" style="35" customWidth="1"/>
    <col min="1253" max="1253" width="5.140625" style="35" customWidth="1"/>
    <col min="1254" max="1254" width="18.140625" style="35" customWidth="1"/>
    <col min="1255" max="1255" width="8.5703125" style="35" customWidth="1"/>
    <col min="1256" max="1256" width="27.140625" style="35" customWidth="1"/>
    <col min="1257" max="1263" width="0" style="35" hidden="1" customWidth="1"/>
    <col min="1264" max="1264" width="12.42578125" style="35" bestFit="1" customWidth="1"/>
    <col min="1265" max="1265" width="13.28515625" style="35" bestFit="1" customWidth="1"/>
    <col min="1266" max="1266" width="46.7109375" style="35" bestFit="1" customWidth="1"/>
    <col min="1267" max="1505" width="9.140625" style="35"/>
    <col min="1506" max="1506" width="61" style="35" customWidth="1"/>
    <col min="1507" max="1507" width="9.140625" style="35" customWidth="1"/>
    <col min="1508" max="1508" width="5.85546875" style="35" customWidth="1"/>
    <col min="1509" max="1509" width="5.140625" style="35" customWidth="1"/>
    <col min="1510" max="1510" width="18.140625" style="35" customWidth="1"/>
    <col min="1511" max="1511" width="8.5703125" style="35" customWidth="1"/>
    <col min="1512" max="1512" width="27.140625" style="35" customWidth="1"/>
    <col min="1513" max="1519" width="0" style="35" hidden="1" customWidth="1"/>
    <col min="1520" max="1520" width="12.42578125" style="35" bestFit="1" customWidth="1"/>
    <col min="1521" max="1521" width="13.28515625" style="35" bestFit="1" customWidth="1"/>
    <col min="1522" max="1522" width="46.7109375" style="35" bestFit="1" customWidth="1"/>
    <col min="1523" max="1761" width="9.140625" style="35"/>
    <col min="1762" max="1762" width="61" style="35" customWidth="1"/>
    <col min="1763" max="1763" width="9.140625" style="35" customWidth="1"/>
    <col min="1764" max="1764" width="5.85546875" style="35" customWidth="1"/>
    <col min="1765" max="1765" width="5.140625" style="35" customWidth="1"/>
    <col min="1766" max="1766" width="18.140625" style="35" customWidth="1"/>
    <col min="1767" max="1767" width="8.5703125" style="35" customWidth="1"/>
    <col min="1768" max="1768" width="27.140625" style="35" customWidth="1"/>
    <col min="1769" max="1775" width="0" style="35" hidden="1" customWidth="1"/>
    <col min="1776" max="1776" width="12.42578125" style="35" bestFit="1" customWidth="1"/>
    <col min="1777" max="1777" width="13.28515625" style="35" bestFit="1" customWidth="1"/>
    <col min="1778" max="1778" width="46.7109375" style="35" bestFit="1" customWidth="1"/>
    <col min="1779" max="2017" width="9.140625" style="35"/>
    <col min="2018" max="2018" width="61" style="35" customWidth="1"/>
    <col min="2019" max="2019" width="9.140625" style="35" customWidth="1"/>
    <col min="2020" max="2020" width="5.85546875" style="35" customWidth="1"/>
    <col min="2021" max="2021" width="5.140625" style="35" customWidth="1"/>
    <col min="2022" max="2022" width="18.140625" style="35" customWidth="1"/>
    <col min="2023" max="2023" width="8.5703125" style="35" customWidth="1"/>
    <col min="2024" max="2024" width="27.140625" style="35" customWidth="1"/>
    <col min="2025" max="2031" width="0" style="35" hidden="1" customWidth="1"/>
    <col min="2032" max="2032" width="12.42578125" style="35" bestFit="1" customWidth="1"/>
    <col min="2033" max="2033" width="13.28515625" style="35" bestFit="1" customWidth="1"/>
    <col min="2034" max="2034" width="46.7109375" style="35" bestFit="1" customWidth="1"/>
    <col min="2035" max="2273" width="9.140625" style="35"/>
    <col min="2274" max="2274" width="61" style="35" customWidth="1"/>
    <col min="2275" max="2275" width="9.140625" style="35" customWidth="1"/>
    <col min="2276" max="2276" width="5.85546875" style="35" customWidth="1"/>
    <col min="2277" max="2277" width="5.140625" style="35" customWidth="1"/>
    <col min="2278" max="2278" width="18.140625" style="35" customWidth="1"/>
    <col min="2279" max="2279" width="8.5703125" style="35" customWidth="1"/>
    <col min="2280" max="2280" width="27.140625" style="35" customWidth="1"/>
    <col min="2281" max="2287" width="0" style="35" hidden="1" customWidth="1"/>
    <col min="2288" max="2288" width="12.42578125" style="35" bestFit="1" customWidth="1"/>
    <col min="2289" max="2289" width="13.28515625" style="35" bestFit="1" customWidth="1"/>
    <col min="2290" max="2290" width="46.7109375" style="35" bestFit="1" customWidth="1"/>
    <col min="2291" max="2529" width="9.140625" style="35"/>
    <col min="2530" max="2530" width="61" style="35" customWidth="1"/>
    <col min="2531" max="2531" width="9.140625" style="35" customWidth="1"/>
    <col min="2532" max="2532" width="5.85546875" style="35" customWidth="1"/>
    <col min="2533" max="2533" width="5.140625" style="35" customWidth="1"/>
    <col min="2534" max="2534" width="18.140625" style="35" customWidth="1"/>
    <col min="2535" max="2535" width="8.5703125" style="35" customWidth="1"/>
    <col min="2536" max="2536" width="27.140625" style="35" customWidth="1"/>
    <col min="2537" max="2543" width="0" style="35" hidden="1" customWidth="1"/>
    <col min="2544" max="2544" width="12.42578125" style="35" bestFit="1" customWidth="1"/>
    <col min="2545" max="2545" width="13.28515625" style="35" bestFit="1" customWidth="1"/>
    <col min="2546" max="2546" width="46.7109375" style="35" bestFit="1" customWidth="1"/>
    <col min="2547" max="2785" width="9.140625" style="35"/>
    <col min="2786" max="2786" width="61" style="35" customWidth="1"/>
    <col min="2787" max="2787" width="9.140625" style="35" customWidth="1"/>
    <col min="2788" max="2788" width="5.85546875" style="35" customWidth="1"/>
    <col min="2789" max="2789" width="5.140625" style="35" customWidth="1"/>
    <col min="2790" max="2790" width="18.140625" style="35" customWidth="1"/>
    <col min="2791" max="2791" width="8.5703125" style="35" customWidth="1"/>
    <col min="2792" max="2792" width="27.140625" style="35" customWidth="1"/>
    <col min="2793" max="2799" width="0" style="35" hidden="1" customWidth="1"/>
    <col min="2800" max="2800" width="12.42578125" style="35" bestFit="1" customWidth="1"/>
    <col min="2801" max="2801" width="13.28515625" style="35" bestFit="1" customWidth="1"/>
    <col min="2802" max="2802" width="46.7109375" style="35" bestFit="1" customWidth="1"/>
    <col min="2803" max="3041" width="9.140625" style="35"/>
    <col min="3042" max="3042" width="61" style="35" customWidth="1"/>
    <col min="3043" max="3043" width="9.140625" style="35" customWidth="1"/>
    <col min="3044" max="3044" width="5.85546875" style="35" customWidth="1"/>
    <col min="3045" max="3045" width="5.140625" style="35" customWidth="1"/>
    <col min="3046" max="3046" width="18.140625" style="35" customWidth="1"/>
    <col min="3047" max="3047" width="8.5703125" style="35" customWidth="1"/>
    <col min="3048" max="3048" width="27.140625" style="35" customWidth="1"/>
    <col min="3049" max="3055" width="0" style="35" hidden="1" customWidth="1"/>
    <col min="3056" max="3056" width="12.42578125" style="35" bestFit="1" customWidth="1"/>
    <col min="3057" max="3057" width="13.28515625" style="35" bestFit="1" customWidth="1"/>
    <col min="3058" max="3058" width="46.7109375" style="35" bestFit="1" customWidth="1"/>
    <col min="3059" max="3297" width="9.140625" style="35"/>
    <col min="3298" max="3298" width="61" style="35" customWidth="1"/>
    <col min="3299" max="3299" width="9.140625" style="35" customWidth="1"/>
    <col min="3300" max="3300" width="5.85546875" style="35" customWidth="1"/>
    <col min="3301" max="3301" width="5.140625" style="35" customWidth="1"/>
    <col min="3302" max="3302" width="18.140625" style="35" customWidth="1"/>
    <col min="3303" max="3303" width="8.5703125" style="35" customWidth="1"/>
    <col min="3304" max="3304" width="27.140625" style="35" customWidth="1"/>
    <col min="3305" max="3311" width="0" style="35" hidden="1" customWidth="1"/>
    <col min="3312" max="3312" width="12.42578125" style="35" bestFit="1" customWidth="1"/>
    <col min="3313" max="3313" width="13.28515625" style="35" bestFit="1" customWidth="1"/>
    <col min="3314" max="3314" width="46.7109375" style="35" bestFit="1" customWidth="1"/>
    <col min="3315" max="3553" width="9.140625" style="35"/>
    <col min="3554" max="3554" width="61" style="35" customWidth="1"/>
    <col min="3555" max="3555" width="9.140625" style="35" customWidth="1"/>
    <col min="3556" max="3556" width="5.85546875" style="35" customWidth="1"/>
    <col min="3557" max="3557" width="5.140625" style="35" customWidth="1"/>
    <col min="3558" max="3558" width="18.140625" style="35" customWidth="1"/>
    <col min="3559" max="3559" width="8.5703125" style="35" customWidth="1"/>
    <col min="3560" max="3560" width="27.140625" style="35" customWidth="1"/>
    <col min="3561" max="3567" width="0" style="35" hidden="1" customWidth="1"/>
    <col min="3568" max="3568" width="12.42578125" style="35" bestFit="1" customWidth="1"/>
    <col min="3569" max="3569" width="13.28515625" style="35" bestFit="1" customWidth="1"/>
    <col min="3570" max="3570" width="46.7109375" style="35" bestFit="1" customWidth="1"/>
    <col min="3571" max="3809" width="9.140625" style="35"/>
    <col min="3810" max="3810" width="61" style="35" customWidth="1"/>
    <col min="3811" max="3811" width="9.140625" style="35" customWidth="1"/>
    <col min="3812" max="3812" width="5.85546875" style="35" customWidth="1"/>
    <col min="3813" max="3813" width="5.140625" style="35" customWidth="1"/>
    <col min="3814" max="3814" width="18.140625" style="35" customWidth="1"/>
    <col min="3815" max="3815" width="8.5703125" style="35" customWidth="1"/>
    <col min="3816" max="3816" width="27.140625" style="35" customWidth="1"/>
    <col min="3817" max="3823" width="0" style="35" hidden="1" customWidth="1"/>
    <col min="3824" max="3824" width="12.42578125" style="35" bestFit="1" customWidth="1"/>
    <col min="3825" max="3825" width="13.28515625" style="35" bestFit="1" customWidth="1"/>
    <col min="3826" max="3826" width="46.7109375" style="35" bestFit="1" customWidth="1"/>
    <col min="3827" max="4065" width="9.140625" style="35"/>
    <col min="4066" max="4066" width="61" style="35" customWidth="1"/>
    <col min="4067" max="4067" width="9.140625" style="35" customWidth="1"/>
    <col min="4068" max="4068" width="5.85546875" style="35" customWidth="1"/>
    <col min="4069" max="4069" width="5.140625" style="35" customWidth="1"/>
    <col min="4070" max="4070" width="18.140625" style="35" customWidth="1"/>
    <col min="4071" max="4071" width="8.5703125" style="35" customWidth="1"/>
    <col min="4072" max="4072" width="27.140625" style="35" customWidth="1"/>
    <col min="4073" max="4079" width="0" style="35" hidden="1" customWidth="1"/>
    <col min="4080" max="4080" width="12.42578125" style="35" bestFit="1" customWidth="1"/>
    <col min="4081" max="4081" width="13.28515625" style="35" bestFit="1" customWidth="1"/>
    <col min="4082" max="4082" width="46.7109375" style="35" bestFit="1" customWidth="1"/>
    <col min="4083" max="4321" width="9.140625" style="35"/>
    <col min="4322" max="4322" width="61" style="35" customWidth="1"/>
    <col min="4323" max="4323" width="9.140625" style="35" customWidth="1"/>
    <col min="4324" max="4324" width="5.85546875" style="35" customWidth="1"/>
    <col min="4325" max="4325" width="5.140625" style="35" customWidth="1"/>
    <col min="4326" max="4326" width="18.140625" style="35" customWidth="1"/>
    <col min="4327" max="4327" width="8.5703125" style="35" customWidth="1"/>
    <col min="4328" max="4328" width="27.140625" style="35" customWidth="1"/>
    <col min="4329" max="4335" width="0" style="35" hidden="1" customWidth="1"/>
    <col min="4336" max="4336" width="12.42578125" style="35" bestFit="1" customWidth="1"/>
    <col min="4337" max="4337" width="13.28515625" style="35" bestFit="1" customWidth="1"/>
    <col min="4338" max="4338" width="46.7109375" style="35" bestFit="1" customWidth="1"/>
    <col min="4339" max="4577" width="9.140625" style="35"/>
    <col min="4578" max="4578" width="61" style="35" customWidth="1"/>
    <col min="4579" max="4579" width="9.140625" style="35" customWidth="1"/>
    <col min="4580" max="4580" width="5.85546875" style="35" customWidth="1"/>
    <col min="4581" max="4581" width="5.140625" style="35" customWidth="1"/>
    <col min="4582" max="4582" width="18.140625" style="35" customWidth="1"/>
    <col min="4583" max="4583" width="8.5703125" style="35" customWidth="1"/>
    <col min="4584" max="4584" width="27.140625" style="35" customWidth="1"/>
    <col min="4585" max="4591" width="0" style="35" hidden="1" customWidth="1"/>
    <col min="4592" max="4592" width="12.42578125" style="35" bestFit="1" customWidth="1"/>
    <col min="4593" max="4593" width="13.28515625" style="35" bestFit="1" customWidth="1"/>
    <col min="4594" max="4594" width="46.7109375" style="35" bestFit="1" customWidth="1"/>
    <col min="4595" max="4833" width="9.140625" style="35"/>
    <col min="4834" max="4834" width="61" style="35" customWidth="1"/>
    <col min="4835" max="4835" width="9.140625" style="35" customWidth="1"/>
    <col min="4836" max="4836" width="5.85546875" style="35" customWidth="1"/>
    <col min="4837" max="4837" width="5.140625" style="35" customWidth="1"/>
    <col min="4838" max="4838" width="18.140625" style="35" customWidth="1"/>
    <col min="4839" max="4839" width="8.5703125" style="35" customWidth="1"/>
    <col min="4840" max="4840" width="27.140625" style="35" customWidth="1"/>
    <col min="4841" max="4847" width="0" style="35" hidden="1" customWidth="1"/>
    <col min="4848" max="4848" width="12.42578125" style="35" bestFit="1" customWidth="1"/>
    <col min="4849" max="4849" width="13.28515625" style="35" bestFit="1" customWidth="1"/>
    <col min="4850" max="4850" width="46.7109375" style="35" bestFit="1" customWidth="1"/>
    <col min="4851" max="5089" width="9.140625" style="35"/>
    <col min="5090" max="5090" width="61" style="35" customWidth="1"/>
    <col min="5091" max="5091" width="9.140625" style="35" customWidth="1"/>
    <col min="5092" max="5092" width="5.85546875" style="35" customWidth="1"/>
    <col min="5093" max="5093" width="5.140625" style="35" customWidth="1"/>
    <col min="5094" max="5094" width="18.140625" style="35" customWidth="1"/>
    <col min="5095" max="5095" width="8.5703125" style="35" customWidth="1"/>
    <col min="5096" max="5096" width="27.140625" style="35" customWidth="1"/>
    <col min="5097" max="5103" width="0" style="35" hidden="1" customWidth="1"/>
    <col min="5104" max="5104" width="12.42578125" style="35" bestFit="1" customWidth="1"/>
    <col min="5105" max="5105" width="13.28515625" style="35" bestFit="1" customWidth="1"/>
    <col min="5106" max="5106" width="46.7109375" style="35" bestFit="1" customWidth="1"/>
    <col min="5107" max="5345" width="9.140625" style="35"/>
    <col min="5346" max="5346" width="61" style="35" customWidth="1"/>
    <col min="5347" max="5347" width="9.140625" style="35" customWidth="1"/>
    <col min="5348" max="5348" width="5.85546875" style="35" customWidth="1"/>
    <col min="5349" max="5349" width="5.140625" style="35" customWidth="1"/>
    <col min="5350" max="5350" width="18.140625" style="35" customWidth="1"/>
    <col min="5351" max="5351" width="8.5703125" style="35" customWidth="1"/>
    <col min="5352" max="5352" width="27.140625" style="35" customWidth="1"/>
    <col min="5353" max="5359" width="0" style="35" hidden="1" customWidth="1"/>
    <col min="5360" max="5360" width="12.42578125" style="35" bestFit="1" customWidth="1"/>
    <col min="5361" max="5361" width="13.28515625" style="35" bestFit="1" customWidth="1"/>
    <col min="5362" max="5362" width="46.7109375" style="35" bestFit="1" customWidth="1"/>
    <col min="5363" max="5601" width="9.140625" style="35"/>
    <col min="5602" max="5602" width="61" style="35" customWidth="1"/>
    <col min="5603" max="5603" width="9.140625" style="35" customWidth="1"/>
    <col min="5604" max="5604" width="5.85546875" style="35" customWidth="1"/>
    <col min="5605" max="5605" width="5.140625" style="35" customWidth="1"/>
    <col min="5606" max="5606" width="18.140625" style="35" customWidth="1"/>
    <col min="5607" max="5607" width="8.5703125" style="35" customWidth="1"/>
    <col min="5608" max="5608" width="27.140625" style="35" customWidth="1"/>
    <col min="5609" max="5615" width="0" style="35" hidden="1" customWidth="1"/>
    <col min="5616" max="5616" width="12.42578125" style="35" bestFit="1" customWidth="1"/>
    <col min="5617" max="5617" width="13.28515625" style="35" bestFit="1" customWidth="1"/>
    <col min="5618" max="5618" width="46.7109375" style="35" bestFit="1" customWidth="1"/>
    <col min="5619" max="5857" width="9.140625" style="35"/>
    <col min="5858" max="5858" width="61" style="35" customWidth="1"/>
    <col min="5859" max="5859" width="9.140625" style="35" customWidth="1"/>
    <col min="5860" max="5860" width="5.85546875" style="35" customWidth="1"/>
    <col min="5861" max="5861" width="5.140625" style="35" customWidth="1"/>
    <col min="5862" max="5862" width="18.140625" style="35" customWidth="1"/>
    <col min="5863" max="5863" width="8.5703125" style="35" customWidth="1"/>
    <col min="5864" max="5864" width="27.140625" style="35" customWidth="1"/>
    <col min="5865" max="5871" width="0" style="35" hidden="1" customWidth="1"/>
    <col min="5872" max="5872" width="12.42578125" style="35" bestFit="1" customWidth="1"/>
    <col min="5873" max="5873" width="13.28515625" style="35" bestFit="1" customWidth="1"/>
    <col min="5874" max="5874" width="46.7109375" style="35" bestFit="1" customWidth="1"/>
    <col min="5875" max="6113" width="9.140625" style="35"/>
    <col min="6114" max="6114" width="61" style="35" customWidth="1"/>
    <col min="6115" max="6115" width="9.140625" style="35" customWidth="1"/>
    <col min="6116" max="6116" width="5.85546875" style="35" customWidth="1"/>
    <col min="6117" max="6117" width="5.140625" style="35" customWidth="1"/>
    <col min="6118" max="6118" width="18.140625" style="35" customWidth="1"/>
    <col min="6119" max="6119" width="8.5703125" style="35" customWidth="1"/>
    <col min="6120" max="6120" width="27.140625" style="35" customWidth="1"/>
    <col min="6121" max="6127" width="0" style="35" hidden="1" customWidth="1"/>
    <col min="6128" max="6128" width="12.42578125" style="35" bestFit="1" customWidth="1"/>
    <col min="6129" max="6129" width="13.28515625" style="35" bestFit="1" customWidth="1"/>
    <col min="6130" max="6130" width="46.7109375" style="35" bestFit="1" customWidth="1"/>
    <col min="6131" max="6369" width="9.140625" style="35"/>
    <col min="6370" max="6370" width="61" style="35" customWidth="1"/>
    <col min="6371" max="6371" width="9.140625" style="35" customWidth="1"/>
    <col min="6372" max="6372" width="5.85546875" style="35" customWidth="1"/>
    <col min="6373" max="6373" width="5.140625" style="35" customWidth="1"/>
    <col min="6374" max="6374" width="18.140625" style="35" customWidth="1"/>
    <col min="6375" max="6375" width="8.5703125" style="35" customWidth="1"/>
    <col min="6376" max="6376" width="27.140625" style="35" customWidth="1"/>
    <col min="6377" max="6383" width="0" style="35" hidden="1" customWidth="1"/>
    <col min="6384" max="6384" width="12.42578125" style="35" bestFit="1" customWidth="1"/>
    <col min="6385" max="6385" width="13.28515625" style="35" bestFit="1" customWidth="1"/>
    <col min="6386" max="6386" width="46.7109375" style="35" bestFit="1" customWidth="1"/>
    <col min="6387" max="6625" width="9.140625" style="35"/>
    <col min="6626" max="6626" width="61" style="35" customWidth="1"/>
    <col min="6627" max="6627" width="9.140625" style="35" customWidth="1"/>
    <col min="6628" max="6628" width="5.85546875" style="35" customWidth="1"/>
    <col min="6629" max="6629" width="5.140625" style="35" customWidth="1"/>
    <col min="6630" max="6630" width="18.140625" style="35" customWidth="1"/>
    <col min="6631" max="6631" width="8.5703125" style="35" customWidth="1"/>
    <col min="6632" max="6632" width="27.140625" style="35" customWidth="1"/>
    <col min="6633" max="6639" width="0" style="35" hidden="1" customWidth="1"/>
    <col min="6640" max="6640" width="12.42578125" style="35" bestFit="1" customWidth="1"/>
    <col min="6641" max="6641" width="13.28515625" style="35" bestFit="1" customWidth="1"/>
    <col min="6642" max="6642" width="46.7109375" style="35" bestFit="1" customWidth="1"/>
    <col min="6643" max="6881" width="9.140625" style="35"/>
    <col min="6882" max="6882" width="61" style="35" customWidth="1"/>
    <col min="6883" max="6883" width="9.140625" style="35" customWidth="1"/>
    <col min="6884" max="6884" width="5.85546875" style="35" customWidth="1"/>
    <col min="6885" max="6885" width="5.140625" style="35" customWidth="1"/>
    <col min="6886" max="6886" width="18.140625" style="35" customWidth="1"/>
    <col min="6887" max="6887" width="8.5703125" style="35" customWidth="1"/>
    <col min="6888" max="6888" width="27.140625" style="35" customWidth="1"/>
    <col min="6889" max="6895" width="0" style="35" hidden="1" customWidth="1"/>
    <col min="6896" max="6896" width="12.42578125" style="35" bestFit="1" customWidth="1"/>
    <col min="6897" max="6897" width="13.28515625" style="35" bestFit="1" customWidth="1"/>
    <col min="6898" max="6898" width="46.7109375" style="35" bestFit="1" customWidth="1"/>
    <col min="6899" max="7137" width="9.140625" style="35"/>
    <col min="7138" max="7138" width="61" style="35" customWidth="1"/>
    <col min="7139" max="7139" width="9.140625" style="35" customWidth="1"/>
    <col min="7140" max="7140" width="5.85546875" style="35" customWidth="1"/>
    <col min="7141" max="7141" width="5.140625" style="35" customWidth="1"/>
    <col min="7142" max="7142" width="18.140625" style="35" customWidth="1"/>
    <col min="7143" max="7143" width="8.5703125" style="35" customWidth="1"/>
    <col min="7144" max="7144" width="27.140625" style="35" customWidth="1"/>
    <col min="7145" max="7151" width="0" style="35" hidden="1" customWidth="1"/>
    <col min="7152" max="7152" width="12.42578125" style="35" bestFit="1" customWidth="1"/>
    <col min="7153" max="7153" width="13.28515625" style="35" bestFit="1" customWidth="1"/>
    <col min="7154" max="7154" width="46.7109375" style="35" bestFit="1" customWidth="1"/>
    <col min="7155" max="7393" width="9.140625" style="35"/>
    <col min="7394" max="7394" width="61" style="35" customWidth="1"/>
    <col min="7395" max="7395" width="9.140625" style="35" customWidth="1"/>
    <col min="7396" max="7396" width="5.85546875" style="35" customWidth="1"/>
    <col min="7397" max="7397" width="5.140625" style="35" customWidth="1"/>
    <col min="7398" max="7398" width="18.140625" style="35" customWidth="1"/>
    <col min="7399" max="7399" width="8.5703125" style="35" customWidth="1"/>
    <col min="7400" max="7400" width="27.140625" style="35" customWidth="1"/>
    <col min="7401" max="7407" width="0" style="35" hidden="1" customWidth="1"/>
    <col min="7408" max="7408" width="12.42578125" style="35" bestFit="1" customWidth="1"/>
    <col min="7409" max="7409" width="13.28515625" style="35" bestFit="1" customWidth="1"/>
    <col min="7410" max="7410" width="46.7109375" style="35" bestFit="1" customWidth="1"/>
    <col min="7411" max="7649" width="9.140625" style="35"/>
    <col min="7650" max="7650" width="61" style="35" customWidth="1"/>
    <col min="7651" max="7651" width="9.140625" style="35" customWidth="1"/>
    <col min="7652" max="7652" width="5.85546875" style="35" customWidth="1"/>
    <col min="7653" max="7653" width="5.140625" style="35" customWidth="1"/>
    <col min="7654" max="7654" width="18.140625" style="35" customWidth="1"/>
    <col min="7655" max="7655" width="8.5703125" style="35" customWidth="1"/>
    <col min="7656" max="7656" width="27.140625" style="35" customWidth="1"/>
    <col min="7657" max="7663" width="0" style="35" hidden="1" customWidth="1"/>
    <col min="7664" max="7664" width="12.42578125" style="35" bestFit="1" customWidth="1"/>
    <col min="7665" max="7665" width="13.28515625" style="35" bestFit="1" customWidth="1"/>
    <col min="7666" max="7666" width="46.7109375" style="35" bestFit="1" customWidth="1"/>
    <col min="7667" max="7905" width="9.140625" style="35"/>
    <col min="7906" max="7906" width="61" style="35" customWidth="1"/>
    <col min="7907" max="7907" width="9.140625" style="35" customWidth="1"/>
    <col min="7908" max="7908" width="5.85546875" style="35" customWidth="1"/>
    <col min="7909" max="7909" width="5.140625" style="35" customWidth="1"/>
    <col min="7910" max="7910" width="18.140625" style="35" customWidth="1"/>
    <col min="7911" max="7911" width="8.5703125" style="35" customWidth="1"/>
    <col min="7912" max="7912" width="27.140625" style="35" customWidth="1"/>
    <col min="7913" max="7919" width="0" style="35" hidden="1" customWidth="1"/>
    <col min="7920" max="7920" width="12.42578125" style="35" bestFit="1" customWidth="1"/>
    <col min="7921" max="7921" width="13.28515625" style="35" bestFit="1" customWidth="1"/>
    <col min="7922" max="7922" width="46.7109375" style="35" bestFit="1" customWidth="1"/>
    <col min="7923" max="8161" width="9.140625" style="35"/>
    <col min="8162" max="8162" width="61" style="35" customWidth="1"/>
    <col min="8163" max="8163" width="9.140625" style="35" customWidth="1"/>
    <col min="8164" max="8164" width="5.85546875" style="35" customWidth="1"/>
    <col min="8165" max="8165" width="5.140625" style="35" customWidth="1"/>
    <col min="8166" max="8166" width="18.140625" style="35" customWidth="1"/>
    <col min="8167" max="8167" width="8.5703125" style="35" customWidth="1"/>
    <col min="8168" max="8168" width="27.140625" style="35" customWidth="1"/>
    <col min="8169" max="8175" width="0" style="35" hidden="1" customWidth="1"/>
    <col min="8176" max="8176" width="12.42578125" style="35" bestFit="1" customWidth="1"/>
    <col min="8177" max="8177" width="13.28515625" style="35" bestFit="1" customWidth="1"/>
    <col min="8178" max="8178" width="46.7109375" style="35" bestFit="1" customWidth="1"/>
    <col min="8179" max="8417" width="9.140625" style="35"/>
    <col min="8418" max="8418" width="61" style="35" customWidth="1"/>
    <col min="8419" max="8419" width="9.140625" style="35" customWidth="1"/>
    <col min="8420" max="8420" width="5.85546875" style="35" customWidth="1"/>
    <col min="8421" max="8421" width="5.140625" style="35" customWidth="1"/>
    <col min="8422" max="8422" width="18.140625" style="35" customWidth="1"/>
    <col min="8423" max="8423" width="8.5703125" style="35" customWidth="1"/>
    <col min="8424" max="8424" width="27.140625" style="35" customWidth="1"/>
    <col min="8425" max="8431" width="0" style="35" hidden="1" customWidth="1"/>
    <col min="8432" max="8432" width="12.42578125" style="35" bestFit="1" customWidth="1"/>
    <col min="8433" max="8433" width="13.28515625" style="35" bestFit="1" customWidth="1"/>
    <col min="8434" max="8434" width="46.7109375" style="35" bestFit="1" customWidth="1"/>
    <col min="8435" max="8673" width="9.140625" style="35"/>
    <col min="8674" max="8674" width="61" style="35" customWidth="1"/>
    <col min="8675" max="8675" width="9.140625" style="35" customWidth="1"/>
    <col min="8676" max="8676" width="5.85546875" style="35" customWidth="1"/>
    <col min="8677" max="8677" width="5.140625" style="35" customWidth="1"/>
    <col min="8678" max="8678" width="18.140625" style="35" customWidth="1"/>
    <col min="8679" max="8679" width="8.5703125" style="35" customWidth="1"/>
    <col min="8680" max="8680" width="27.140625" style="35" customWidth="1"/>
    <col min="8681" max="8687" width="0" style="35" hidden="1" customWidth="1"/>
    <col min="8688" max="8688" width="12.42578125" style="35" bestFit="1" customWidth="1"/>
    <col min="8689" max="8689" width="13.28515625" style="35" bestFit="1" customWidth="1"/>
    <col min="8690" max="8690" width="46.7109375" style="35" bestFit="1" customWidth="1"/>
    <col min="8691" max="8929" width="9.140625" style="35"/>
    <col min="8930" max="8930" width="61" style="35" customWidth="1"/>
    <col min="8931" max="8931" width="9.140625" style="35" customWidth="1"/>
    <col min="8932" max="8932" width="5.85546875" style="35" customWidth="1"/>
    <col min="8933" max="8933" width="5.140625" style="35" customWidth="1"/>
    <col min="8934" max="8934" width="18.140625" style="35" customWidth="1"/>
    <col min="8935" max="8935" width="8.5703125" style="35" customWidth="1"/>
    <col min="8936" max="8936" width="27.140625" style="35" customWidth="1"/>
    <col min="8937" max="8943" width="0" style="35" hidden="1" customWidth="1"/>
    <col min="8944" max="8944" width="12.42578125" style="35" bestFit="1" customWidth="1"/>
    <col min="8945" max="8945" width="13.28515625" style="35" bestFit="1" customWidth="1"/>
    <col min="8946" max="8946" width="46.7109375" style="35" bestFit="1" customWidth="1"/>
    <col min="8947" max="9185" width="9.140625" style="35"/>
    <col min="9186" max="9186" width="61" style="35" customWidth="1"/>
    <col min="9187" max="9187" width="9.140625" style="35" customWidth="1"/>
    <col min="9188" max="9188" width="5.85546875" style="35" customWidth="1"/>
    <col min="9189" max="9189" width="5.140625" style="35" customWidth="1"/>
    <col min="9190" max="9190" width="18.140625" style="35" customWidth="1"/>
    <col min="9191" max="9191" width="8.5703125" style="35" customWidth="1"/>
    <col min="9192" max="9192" width="27.140625" style="35" customWidth="1"/>
    <col min="9193" max="9199" width="0" style="35" hidden="1" customWidth="1"/>
    <col min="9200" max="9200" width="12.42578125" style="35" bestFit="1" customWidth="1"/>
    <col min="9201" max="9201" width="13.28515625" style="35" bestFit="1" customWidth="1"/>
    <col min="9202" max="9202" width="46.7109375" style="35" bestFit="1" customWidth="1"/>
    <col min="9203" max="9441" width="9.140625" style="35"/>
    <col min="9442" max="9442" width="61" style="35" customWidth="1"/>
    <col min="9443" max="9443" width="9.140625" style="35" customWidth="1"/>
    <col min="9444" max="9444" width="5.85546875" style="35" customWidth="1"/>
    <col min="9445" max="9445" width="5.140625" style="35" customWidth="1"/>
    <col min="9446" max="9446" width="18.140625" style="35" customWidth="1"/>
    <col min="9447" max="9447" width="8.5703125" style="35" customWidth="1"/>
    <col min="9448" max="9448" width="27.140625" style="35" customWidth="1"/>
    <col min="9449" max="9455" width="0" style="35" hidden="1" customWidth="1"/>
    <col min="9456" max="9456" width="12.42578125" style="35" bestFit="1" customWidth="1"/>
    <col min="9457" max="9457" width="13.28515625" style="35" bestFit="1" customWidth="1"/>
    <col min="9458" max="9458" width="46.7109375" style="35" bestFit="1" customWidth="1"/>
    <col min="9459" max="9697" width="9.140625" style="35"/>
    <col min="9698" max="9698" width="61" style="35" customWidth="1"/>
    <col min="9699" max="9699" width="9.140625" style="35" customWidth="1"/>
    <col min="9700" max="9700" width="5.85546875" style="35" customWidth="1"/>
    <col min="9701" max="9701" width="5.140625" style="35" customWidth="1"/>
    <col min="9702" max="9702" width="18.140625" style="35" customWidth="1"/>
    <col min="9703" max="9703" width="8.5703125" style="35" customWidth="1"/>
    <col min="9704" max="9704" width="27.140625" style="35" customWidth="1"/>
    <col min="9705" max="9711" width="0" style="35" hidden="1" customWidth="1"/>
    <col min="9712" max="9712" width="12.42578125" style="35" bestFit="1" customWidth="1"/>
    <col min="9713" max="9713" width="13.28515625" style="35" bestFit="1" customWidth="1"/>
    <col min="9714" max="9714" width="46.7109375" style="35" bestFit="1" customWidth="1"/>
    <col min="9715" max="9953" width="9.140625" style="35"/>
    <col min="9954" max="9954" width="61" style="35" customWidth="1"/>
    <col min="9955" max="9955" width="9.140625" style="35" customWidth="1"/>
    <col min="9956" max="9956" width="5.85546875" style="35" customWidth="1"/>
    <col min="9957" max="9957" width="5.140625" style="35" customWidth="1"/>
    <col min="9958" max="9958" width="18.140625" style="35" customWidth="1"/>
    <col min="9959" max="9959" width="8.5703125" style="35" customWidth="1"/>
    <col min="9960" max="9960" width="27.140625" style="35" customWidth="1"/>
    <col min="9961" max="9967" width="0" style="35" hidden="1" customWidth="1"/>
    <col min="9968" max="9968" width="12.42578125" style="35" bestFit="1" customWidth="1"/>
    <col min="9969" max="9969" width="13.28515625" style="35" bestFit="1" customWidth="1"/>
    <col min="9970" max="9970" width="46.7109375" style="35" bestFit="1" customWidth="1"/>
    <col min="9971" max="10209" width="9.140625" style="35"/>
    <col min="10210" max="10210" width="61" style="35" customWidth="1"/>
    <col min="10211" max="10211" width="9.140625" style="35" customWidth="1"/>
    <col min="10212" max="10212" width="5.85546875" style="35" customWidth="1"/>
    <col min="10213" max="10213" width="5.140625" style="35" customWidth="1"/>
    <col min="10214" max="10214" width="18.140625" style="35" customWidth="1"/>
    <col min="10215" max="10215" width="8.5703125" style="35" customWidth="1"/>
    <col min="10216" max="10216" width="27.140625" style="35" customWidth="1"/>
    <col min="10217" max="10223" width="0" style="35" hidden="1" customWidth="1"/>
    <col min="10224" max="10224" width="12.42578125" style="35" bestFit="1" customWidth="1"/>
    <col min="10225" max="10225" width="13.28515625" style="35" bestFit="1" customWidth="1"/>
    <col min="10226" max="10226" width="46.7109375" style="35" bestFit="1" customWidth="1"/>
    <col min="10227" max="10465" width="9.140625" style="35"/>
    <col min="10466" max="10466" width="61" style="35" customWidth="1"/>
    <col min="10467" max="10467" width="9.140625" style="35" customWidth="1"/>
    <col min="10468" max="10468" width="5.85546875" style="35" customWidth="1"/>
    <col min="10469" max="10469" width="5.140625" style="35" customWidth="1"/>
    <col min="10470" max="10470" width="18.140625" style="35" customWidth="1"/>
    <col min="10471" max="10471" width="8.5703125" style="35" customWidth="1"/>
    <col min="10472" max="10472" width="27.140625" style="35" customWidth="1"/>
    <col min="10473" max="10479" width="0" style="35" hidden="1" customWidth="1"/>
    <col min="10480" max="10480" width="12.42578125" style="35" bestFit="1" customWidth="1"/>
    <col min="10481" max="10481" width="13.28515625" style="35" bestFit="1" customWidth="1"/>
    <col min="10482" max="10482" width="46.7109375" style="35" bestFit="1" customWidth="1"/>
    <col min="10483" max="10721" width="9.140625" style="35"/>
    <col min="10722" max="10722" width="61" style="35" customWidth="1"/>
    <col min="10723" max="10723" width="9.140625" style="35" customWidth="1"/>
    <col min="10724" max="10724" width="5.85546875" style="35" customWidth="1"/>
    <col min="10725" max="10725" width="5.140625" style="35" customWidth="1"/>
    <col min="10726" max="10726" width="18.140625" style="35" customWidth="1"/>
    <col min="10727" max="10727" width="8.5703125" style="35" customWidth="1"/>
    <col min="10728" max="10728" width="27.140625" style="35" customWidth="1"/>
    <col min="10729" max="10735" width="0" style="35" hidden="1" customWidth="1"/>
    <col min="10736" max="10736" width="12.42578125" style="35" bestFit="1" customWidth="1"/>
    <col min="10737" max="10737" width="13.28515625" style="35" bestFit="1" customWidth="1"/>
    <col min="10738" max="10738" width="46.7109375" style="35" bestFit="1" customWidth="1"/>
    <col min="10739" max="10977" width="9.140625" style="35"/>
    <col min="10978" max="10978" width="61" style="35" customWidth="1"/>
    <col min="10979" max="10979" width="9.140625" style="35" customWidth="1"/>
    <col min="10980" max="10980" width="5.85546875" style="35" customWidth="1"/>
    <col min="10981" max="10981" width="5.140625" style="35" customWidth="1"/>
    <col min="10982" max="10982" width="18.140625" style="35" customWidth="1"/>
    <col min="10983" max="10983" width="8.5703125" style="35" customWidth="1"/>
    <col min="10984" max="10984" width="27.140625" style="35" customWidth="1"/>
    <col min="10985" max="10991" width="0" style="35" hidden="1" customWidth="1"/>
    <col min="10992" max="10992" width="12.42578125" style="35" bestFit="1" customWidth="1"/>
    <col min="10993" max="10993" width="13.28515625" style="35" bestFit="1" customWidth="1"/>
    <col min="10994" max="10994" width="46.7109375" style="35" bestFit="1" customWidth="1"/>
    <col min="10995" max="11233" width="9.140625" style="35"/>
    <col min="11234" max="11234" width="61" style="35" customWidth="1"/>
    <col min="11235" max="11235" width="9.140625" style="35" customWidth="1"/>
    <col min="11236" max="11236" width="5.85546875" style="35" customWidth="1"/>
    <col min="11237" max="11237" width="5.140625" style="35" customWidth="1"/>
    <col min="11238" max="11238" width="18.140625" style="35" customWidth="1"/>
    <col min="11239" max="11239" width="8.5703125" style="35" customWidth="1"/>
    <col min="11240" max="11240" width="27.140625" style="35" customWidth="1"/>
    <col min="11241" max="11247" width="0" style="35" hidden="1" customWidth="1"/>
    <col min="11248" max="11248" width="12.42578125" style="35" bestFit="1" customWidth="1"/>
    <col min="11249" max="11249" width="13.28515625" style="35" bestFit="1" customWidth="1"/>
    <col min="11250" max="11250" width="46.7109375" style="35" bestFit="1" customWidth="1"/>
    <col min="11251" max="11489" width="9.140625" style="35"/>
    <col min="11490" max="11490" width="61" style="35" customWidth="1"/>
    <col min="11491" max="11491" width="9.140625" style="35" customWidth="1"/>
    <col min="11492" max="11492" width="5.85546875" style="35" customWidth="1"/>
    <col min="11493" max="11493" width="5.140625" style="35" customWidth="1"/>
    <col min="11494" max="11494" width="18.140625" style="35" customWidth="1"/>
    <col min="11495" max="11495" width="8.5703125" style="35" customWidth="1"/>
    <col min="11496" max="11496" width="27.140625" style="35" customWidth="1"/>
    <col min="11497" max="11503" width="0" style="35" hidden="1" customWidth="1"/>
    <col min="11504" max="11504" width="12.42578125" style="35" bestFit="1" customWidth="1"/>
    <col min="11505" max="11505" width="13.28515625" style="35" bestFit="1" customWidth="1"/>
    <col min="11506" max="11506" width="46.7109375" style="35" bestFit="1" customWidth="1"/>
    <col min="11507" max="11745" width="9.140625" style="35"/>
    <col min="11746" max="11746" width="61" style="35" customWidth="1"/>
    <col min="11747" max="11747" width="9.140625" style="35" customWidth="1"/>
    <col min="11748" max="11748" width="5.85546875" style="35" customWidth="1"/>
    <col min="11749" max="11749" width="5.140625" style="35" customWidth="1"/>
    <col min="11750" max="11750" width="18.140625" style="35" customWidth="1"/>
    <col min="11751" max="11751" width="8.5703125" style="35" customWidth="1"/>
    <col min="11752" max="11752" width="27.140625" style="35" customWidth="1"/>
    <col min="11753" max="11759" width="0" style="35" hidden="1" customWidth="1"/>
    <col min="11760" max="11760" width="12.42578125" style="35" bestFit="1" customWidth="1"/>
    <col min="11761" max="11761" width="13.28515625" style="35" bestFit="1" customWidth="1"/>
    <col min="11762" max="11762" width="46.7109375" style="35" bestFit="1" customWidth="1"/>
    <col min="11763" max="12001" width="9.140625" style="35"/>
    <col min="12002" max="12002" width="61" style="35" customWidth="1"/>
    <col min="12003" max="12003" width="9.140625" style="35" customWidth="1"/>
    <col min="12004" max="12004" width="5.85546875" style="35" customWidth="1"/>
    <col min="12005" max="12005" width="5.140625" style="35" customWidth="1"/>
    <col min="12006" max="12006" width="18.140625" style="35" customWidth="1"/>
    <col min="12007" max="12007" width="8.5703125" style="35" customWidth="1"/>
    <col min="12008" max="12008" width="27.140625" style="35" customWidth="1"/>
    <col min="12009" max="12015" width="0" style="35" hidden="1" customWidth="1"/>
    <col min="12016" max="12016" width="12.42578125" style="35" bestFit="1" customWidth="1"/>
    <col min="12017" max="12017" width="13.28515625" style="35" bestFit="1" customWidth="1"/>
    <col min="12018" max="12018" width="46.7109375" style="35" bestFit="1" customWidth="1"/>
    <col min="12019" max="12257" width="9.140625" style="35"/>
    <col min="12258" max="12258" width="61" style="35" customWidth="1"/>
    <col min="12259" max="12259" width="9.140625" style="35" customWidth="1"/>
    <col min="12260" max="12260" width="5.85546875" style="35" customWidth="1"/>
    <col min="12261" max="12261" width="5.140625" style="35" customWidth="1"/>
    <col min="12262" max="12262" width="18.140625" style="35" customWidth="1"/>
    <col min="12263" max="12263" width="8.5703125" style="35" customWidth="1"/>
    <col min="12264" max="12264" width="27.140625" style="35" customWidth="1"/>
    <col min="12265" max="12271" width="0" style="35" hidden="1" customWidth="1"/>
    <col min="12272" max="12272" width="12.42578125" style="35" bestFit="1" customWidth="1"/>
    <col min="12273" max="12273" width="13.28515625" style="35" bestFit="1" customWidth="1"/>
    <col min="12274" max="12274" width="46.7109375" style="35" bestFit="1" customWidth="1"/>
    <col min="12275" max="12513" width="9.140625" style="35"/>
    <col min="12514" max="12514" width="61" style="35" customWidth="1"/>
    <col min="12515" max="12515" width="9.140625" style="35" customWidth="1"/>
    <col min="12516" max="12516" width="5.85546875" style="35" customWidth="1"/>
    <col min="12517" max="12517" width="5.140625" style="35" customWidth="1"/>
    <col min="12518" max="12518" width="18.140625" style="35" customWidth="1"/>
    <col min="12519" max="12519" width="8.5703125" style="35" customWidth="1"/>
    <col min="12520" max="12520" width="27.140625" style="35" customWidth="1"/>
    <col min="12521" max="12527" width="0" style="35" hidden="1" customWidth="1"/>
    <col min="12528" max="12528" width="12.42578125" style="35" bestFit="1" customWidth="1"/>
    <col min="12529" max="12529" width="13.28515625" style="35" bestFit="1" customWidth="1"/>
    <col min="12530" max="12530" width="46.7109375" style="35" bestFit="1" customWidth="1"/>
    <col min="12531" max="12769" width="9.140625" style="35"/>
    <col min="12770" max="12770" width="61" style="35" customWidth="1"/>
    <col min="12771" max="12771" width="9.140625" style="35" customWidth="1"/>
    <col min="12772" max="12772" width="5.85546875" style="35" customWidth="1"/>
    <col min="12773" max="12773" width="5.140625" style="35" customWidth="1"/>
    <col min="12774" max="12774" width="18.140625" style="35" customWidth="1"/>
    <col min="12775" max="12775" width="8.5703125" style="35" customWidth="1"/>
    <col min="12776" max="12776" width="27.140625" style="35" customWidth="1"/>
    <col min="12777" max="12783" width="0" style="35" hidden="1" customWidth="1"/>
    <col min="12784" max="12784" width="12.42578125" style="35" bestFit="1" customWidth="1"/>
    <col min="12785" max="12785" width="13.28515625" style="35" bestFit="1" customWidth="1"/>
    <col min="12786" max="12786" width="46.7109375" style="35" bestFit="1" customWidth="1"/>
    <col min="12787" max="13025" width="9.140625" style="35"/>
    <col min="13026" max="13026" width="61" style="35" customWidth="1"/>
    <col min="13027" max="13027" width="9.140625" style="35" customWidth="1"/>
    <col min="13028" max="13028" width="5.85546875" style="35" customWidth="1"/>
    <col min="13029" max="13029" width="5.140625" style="35" customWidth="1"/>
    <col min="13030" max="13030" width="18.140625" style="35" customWidth="1"/>
    <col min="13031" max="13031" width="8.5703125" style="35" customWidth="1"/>
    <col min="13032" max="13032" width="27.140625" style="35" customWidth="1"/>
    <col min="13033" max="13039" width="0" style="35" hidden="1" customWidth="1"/>
    <col min="13040" max="13040" width="12.42578125" style="35" bestFit="1" customWidth="1"/>
    <col min="13041" max="13041" width="13.28515625" style="35" bestFit="1" customWidth="1"/>
    <col min="13042" max="13042" width="46.7109375" style="35" bestFit="1" customWidth="1"/>
    <col min="13043" max="13281" width="9.140625" style="35"/>
    <col min="13282" max="13282" width="61" style="35" customWidth="1"/>
    <col min="13283" max="13283" width="9.140625" style="35" customWidth="1"/>
    <col min="13284" max="13284" width="5.85546875" style="35" customWidth="1"/>
    <col min="13285" max="13285" width="5.140625" style="35" customWidth="1"/>
    <col min="13286" max="13286" width="18.140625" style="35" customWidth="1"/>
    <col min="13287" max="13287" width="8.5703125" style="35" customWidth="1"/>
    <col min="13288" max="13288" width="27.140625" style="35" customWidth="1"/>
    <col min="13289" max="13295" width="0" style="35" hidden="1" customWidth="1"/>
    <col min="13296" max="13296" width="12.42578125" style="35" bestFit="1" customWidth="1"/>
    <col min="13297" max="13297" width="13.28515625" style="35" bestFit="1" customWidth="1"/>
    <col min="13298" max="13298" width="46.7109375" style="35" bestFit="1" customWidth="1"/>
    <col min="13299" max="13537" width="9.140625" style="35"/>
    <col min="13538" max="13538" width="61" style="35" customWidth="1"/>
    <col min="13539" max="13539" width="9.140625" style="35" customWidth="1"/>
    <col min="13540" max="13540" width="5.85546875" style="35" customWidth="1"/>
    <col min="13541" max="13541" width="5.140625" style="35" customWidth="1"/>
    <col min="13542" max="13542" width="18.140625" style="35" customWidth="1"/>
    <col min="13543" max="13543" width="8.5703125" style="35" customWidth="1"/>
    <col min="13544" max="13544" width="27.140625" style="35" customWidth="1"/>
    <col min="13545" max="13551" width="0" style="35" hidden="1" customWidth="1"/>
    <col min="13552" max="13552" width="12.42578125" style="35" bestFit="1" customWidth="1"/>
    <col min="13553" max="13553" width="13.28515625" style="35" bestFit="1" customWidth="1"/>
    <col min="13554" max="13554" width="46.7109375" style="35" bestFit="1" customWidth="1"/>
    <col min="13555" max="13793" width="9.140625" style="35"/>
    <col min="13794" max="13794" width="61" style="35" customWidth="1"/>
    <col min="13795" max="13795" width="9.140625" style="35" customWidth="1"/>
    <col min="13796" max="13796" width="5.85546875" style="35" customWidth="1"/>
    <col min="13797" max="13797" width="5.140625" style="35" customWidth="1"/>
    <col min="13798" max="13798" width="18.140625" style="35" customWidth="1"/>
    <col min="13799" max="13799" width="8.5703125" style="35" customWidth="1"/>
    <col min="13800" max="13800" width="27.140625" style="35" customWidth="1"/>
    <col min="13801" max="13807" width="0" style="35" hidden="1" customWidth="1"/>
    <col min="13808" max="13808" width="12.42578125" style="35" bestFit="1" customWidth="1"/>
    <col min="13809" max="13809" width="13.28515625" style="35" bestFit="1" customWidth="1"/>
    <col min="13810" max="13810" width="46.7109375" style="35" bestFit="1" customWidth="1"/>
    <col min="13811" max="14049" width="9.140625" style="35"/>
    <col min="14050" max="14050" width="61" style="35" customWidth="1"/>
    <col min="14051" max="14051" width="9.140625" style="35" customWidth="1"/>
    <col min="14052" max="14052" width="5.85546875" style="35" customWidth="1"/>
    <col min="14053" max="14053" width="5.140625" style="35" customWidth="1"/>
    <col min="14054" max="14054" width="18.140625" style="35" customWidth="1"/>
    <col min="14055" max="14055" width="8.5703125" style="35" customWidth="1"/>
    <col min="14056" max="14056" width="27.140625" style="35" customWidth="1"/>
    <col min="14057" max="14063" width="0" style="35" hidden="1" customWidth="1"/>
    <col min="14064" max="14064" width="12.42578125" style="35" bestFit="1" customWidth="1"/>
    <col min="14065" max="14065" width="13.28515625" style="35" bestFit="1" customWidth="1"/>
    <col min="14066" max="14066" width="46.7109375" style="35" bestFit="1" customWidth="1"/>
    <col min="14067" max="14305" width="9.140625" style="35"/>
    <col min="14306" max="14306" width="61" style="35" customWidth="1"/>
    <col min="14307" max="14307" width="9.140625" style="35" customWidth="1"/>
    <col min="14308" max="14308" width="5.85546875" style="35" customWidth="1"/>
    <col min="14309" max="14309" width="5.140625" style="35" customWidth="1"/>
    <col min="14310" max="14310" width="18.140625" style="35" customWidth="1"/>
    <col min="14311" max="14311" width="8.5703125" style="35" customWidth="1"/>
    <col min="14312" max="14312" width="27.140625" style="35" customWidth="1"/>
    <col min="14313" max="14319" width="0" style="35" hidden="1" customWidth="1"/>
    <col min="14320" max="14320" width="12.42578125" style="35" bestFit="1" customWidth="1"/>
    <col min="14321" max="14321" width="13.28515625" style="35" bestFit="1" customWidth="1"/>
    <col min="14322" max="14322" width="46.7109375" style="35" bestFit="1" customWidth="1"/>
    <col min="14323" max="14561" width="9.140625" style="35"/>
    <col min="14562" max="14562" width="61" style="35" customWidth="1"/>
    <col min="14563" max="14563" width="9.140625" style="35" customWidth="1"/>
    <col min="14564" max="14564" width="5.85546875" style="35" customWidth="1"/>
    <col min="14565" max="14565" width="5.140625" style="35" customWidth="1"/>
    <col min="14566" max="14566" width="18.140625" style="35" customWidth="1"/>
    <col min="14567" max="14567" width="8.5703125" style="35" customWidth="1"/>
    <col min="14568" max="14568" width="27.140625" style="35" customWidth="1"/>
    <col min="14569" max="14575" width="0" style="35" hidden="1" customWidth="1"/>
    <col min="14576" max="14576" width="12.42578125" style="35" bestFit="1" customWidth="1"/>
    <col min="14577" max="14577" width="13.28515625" style="35" bestFit="1" customWidth="1"/>
    <col min="14578" max="14578" width="46.7109375" style="35" bestFit="1" customWidth="1"/>
    <col min="14579" max="14817" width="9.140625" style="35"/>
    <col min="14818" max="14818" width="61" style="35" customWidth="1"/>
    <col min="14819" max="14819" width="9.140625" style="35" customWidth="1"/>
    <col min="14820" max="14820" width="5.85546875" style="35" customWidth="1"/>
    <col min="14821" max="14821" width="5.140625" style="35" customWidth="1"/>
    <col min="14822" max="14822" width="18.140625" style="35" customWidth="1"/>
    <col min="14823" max="14823" width="8.5703125" style="35" customWidth="1"/>
    <col min="14824" max="14824" width="27.140625" style="35" customWidth="1"/>
    <col min="14825" max="14831" width="0" style="35" hidden="1" customWidth="1"/>
    <col min="14832" max="14832" width="12.42578125" style="35" bestFit="1" customWidth="1"/>
    <col min="14833" max="14833" width="13.28515625" style="35" bestFit="1" customWidth="1"/>
    <col min="14834" max="14834" width="46.7109375" style="35" bestFit="1" customWidth="1"/>
    <col min="14835" max="15073" width="9.140625" style="35"/>
    <col min="15074" max="15074" width="61" style="35" customWidth="1"/>
    <col min="15075" max="15075" width="9.140625" style="35" customWidth="1"/>
    <col min="15076" max="15076" width="5.85546875" style="35" customWidth="1"/>
    <col min="15077" max="15077" width="5.140625" style="35" customWidth="1"/>
    <col min="15078" max="15078" width="18.140625" style="35" customWidth="1"/>
    <col min="15079" max="15079" width="8.5703125" style="35" customWidth="1"/>
    <col min="15080" max="15080" width="27.140625" style="35" customWidth="1"/>
    <col min="15081" max="15087" width="0" style="35" hidden="1" customWidth="1"/>
    <col min="15088" max="15088" width="12.42578125" style="35" bestFit="1" customWidth="1"/>
    <col min="15089" max="15089" width="13.28515625" style="35" bestFit="1" customWidth="1"/>
    <col min="15090" max="15090" width="46.7109375" style="35" bestFit="1" customWidth="1"/>
    <col min="15091" max="15329" width="9.140625" style="35"/>
    <col min="15330" max="15330" width="61" style="35" customWidth="1"/>
    <col min="15331" max="15331" width="9.140625" style="35" customWidth="1"/>
    <col min="15332" max="15332" width="5.85546875" style="35" customWidth="1"/>
    <col min="15333" max="15333" width="5.140625" style="35" customWidth="1"/>
    <col min="15334" max="15334" width="18.140625" style="35" customWidth="1"/>
    <col min="15335" max="15335" width="8.5703125" style="35" customWidth="1"/>
    <col min="15336" max="15336" width="27.140625" style="35" customWidth="1"/>
    <col min="15337" max="15343" width="0" style="35" hidden="1" customWidth="1"/>
    <col min="15344" max="15344" width="12.42578125" style="35" bestFit="1" customWidth="1"/>
    <col min="15345" max="15345" width="13.28515625" style="35" bestFit="1" customWidth="1"/>
    <col min="15346" max="15346" width="46.7109375" style="35" bestFit="1" customWidth="1"/>
    <col min="15347" max="15585" width="9.140625" style="35"/>
    <col min="15586" max="15586" width="61" style="35" customWidth="1"/>
    <col min="15587" max="15587" width="9.140625" style="35" customWidth="1"/>
    <col min="15588" max="15588" width="5.85546875" style="35" customWidth="1"/>
    <col min="15589" max="15589" width="5.140625" style="35" customWidth="1"/>
    <col min="15590" max="15590" width="18.140625" style="35" customWidth="1"/>
    <col min="15591" max="15591" width="8.5703125" style="35" customWidth="1"/>
    <col min="15592" max="15592" width="27.140625" style="35" customWidth="1"/>
    <col min="15593" max="15599" width="0" style="35" hidden="1" customWidth="1"/>
    <col min="15600" max="15600" width="12.42578125" style="35" bestFit="1" customWidth="1"/>
    <col min="15601" max="15601" width="13.28515625" style="35" bestFit="1" customWidth="1"/>
    <col min="15602" max="15602" width="46.7109375" style="35" bestFit="1" customWidth="1"/>
    <col min="15603" max="15841" width="9.140625" style="35"/>
    <col min="15842" max="15842" width="61" style="35" customWidth="1"/>
    <col min="15843" max="15843" width="9.140625" style="35" customWidth="1"/>
    <col min="15844" max="15844" width="5.85546875" style="35" customWidth="1"/>
    <col min="15845" max="15845" width="5.140625" style="35" customWidth="1"/>
    <col min="15846" max="15846" width="18.140625" style="35" customWidth="1"/>
    <col min="15847" max="15847" width="8.5703125" style="35" customWidth="1"/>
    <col min="15848" max="15848" width="27.140625" style="35" customWidth="1"/>
    <col min="15849" max="15855" width="0" style="35" hidden="1" customWidth="1"/>
    <col min="15856" max="15856" width="12.42578125" style="35" bestFit="1" customWidth="1"/>
    <col min="15857" max="15857" width="13.28515625" style="35" bestFit="1" customWidth="1"/>
    <col min="15858" max="15858" width="46.7109375" style="35" bestFit="1" customWidth="1"/>
    <col min="15859" max="16097" width="9.140625" style="35"/>
    <col min="16098" max="16098" width="61" style="35" customWidth="1"/>
    <col min="16099" max="16099" width="9.140625" style="35" customWidth="1"/>
    <col min="16100" max="16100" width="5.85546875" style="35" customWidth="1"/>
    <col min="16101" max="16101" width="5.140625" style="35" customWidth="1"/>
    <col min="16102" max="16102" width="18.140625" style="35" customWidth="1"/>
    <col min="16103" max="16103" width="8.5703125" style="35" customWidth="1"/>
    <col min="16104" max="16104" width="27.140625" style="35" customWidth="1"/>
    <col min="16105" max="16111" width="0" style="35" hidden="1" customWidth="1"/>
    <col min="16112" max="16112" width="12.42578125" style="35" bestFit="1" customWidth="1"/>
    <col min="16113" max="16113" width="13.28515625" style="35" bestFit="1" customWidth="1"/>
    <col min="16114" max="16114" width="46.7109375" style="35" bestFit="1" customWidth="1"/>
    <col min="16115" max="16384" width="9.140625" style="35"/>
  </cols>
  <sheetData>
    <row r="1" spans="1:32" x14ac:dyDescent="0.2">
      <c r="G1" s="37" t="s">
        <v>462</v>
      </c>
    </row>
    <row r="2" spans="1:32" x14ac:dyDescent="0.2">
      <c r="G2" s="37" t="s">
        <v>286</v>
      </c>
    </row>
    <row r="3" spans="1:32" x14ac:dyDescent="0.2">
      <c r="G3" s="37" t="s">
        <v>17</v>
      </c>
    </row>
    <row r="4" spans="1:32" x14ac:dyDescent="0.2">
      <c r="G4" s="37" t="s">
        <v>18</v>
      </c>
    </row>
    <row r="5" spans="1:32" x14ac:dyDescent="0.2">
      <c r="G5" s="37" t="s">
        <v>19</v>
      </c>
    </row>
    <row r="6" spans="1:32" x14ac:dyDescent="0.2">
      <c r="G6" s="37" t="s">
        <v>563</v>
      </c>
    </row>
    <row r="7" spans="1:32" x14ac:dyDescent="0.2">
      <c r="G7" s="37" t="s">
        <v>564</v>
      </c>
    </row>
    <row r="9" spans="1:32" ht="117" customHeight="1" x14ac:dyDescent="0.2">
      <c r="A9" s="182" t="s">
        <v>376</v>
      </c>
      <c r="B9" s="182"/>
      <c r="C9" s="182"/>
      <c r="D9" s="182"/>
      <c r="E9" s="182"/>
      <c r="F9" s="182"/>
      <c r="G9" s="182"/>
      <c r="H9" s="182"/>
    </row>
    <row r="11" spans="1:32" x14ac:dyDescent="0.2">
      <c r="A11" s="36"/>
      <c r="G11" s="38"/>
    </row>
    <row r="12" spans="1:32" ht="30" x14ac:dyDescent="0.2">
      <c r="A12" s="39" t="s">
        <v>21</v>
      </c>
      <c r="B12" s="40" t="s">
        <v>287</v>
      </c>
      <c r="C12" s="40" t="s">
        <v>288</v>
      </c>
      <c r="D12" s="40" t="s">
        <v>186</v>
      </c>
      <c r="E12" s="40" t="s">
        <v>187</v>
      </c>
      <c r="F12" s="41" t="s">
        <v>22</v>
      </c>
      <c r="G12" s="41" t="s">
        <v>23</v>
      </c>
      <c r="H12" s="41" t="s">
        <v>173</v>
      </c>
    </row>
    <row r="13" spans="1:32" s="45" customFormat="1" ht="15.75" x14ac:dyDescent="0.25">
      <c r="A13" s="42" t="s">
        <v>289</v>
      </c>
      <c r="B13" s="43"/>
      <c r="C13" s="43"/>
      <c r="D13" s="43"/>
      <c r="E13" s="43"/>
      <c r="F13" s="44">
        <f>F14+F183+F104+F115+F223+F215+F135+F147+F177+F171+F98</f>
        <v>1417599945.0899999</v>
      </c>
      <c r="G13" s="44">
        <f t="shared" ref="G13:H13" si="0">G14+G183+G104+G115+G223+G215+G135+G147+G177+G171+G98</f>
        <v>600178656.78999996</v>
      </c>
      <c r="H13" s="44">
        <f t="shared" si="0"/>
        <v>600178656.78999996</v>
      </c>
      <c r="I13" s="110"/>
      <c r="J13" s="141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V13" s="143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45" customFormat="1" ht="15.75" x14ac:dyDescent="0.25">
      <c r="A14" s="30" t="s">
        <v>290</v>
      </c>
      <c r="B14" s="47" t="s">
        <v>291</v>
      </c>
      <c r="C14" s="47"/>
      <c r="D14" s="47"/>
      <c r="E14" s="47"/>
      <c r="F14" s="48">
        <f>F15+F20+F27+F35+F52+F57+F47</f>
        <v>708373450.85000002</v>
      </c>
      <c r="G14" s="48">
        <f>G15+G20+G27+G35+G52+G57+G47</f>
        <v>557460927.11000001</v>
      </c>
      <c r="H14" s="48">
        <f>H15+H20+H27+H35+H52+H57+H47</f>
        <v>557460927.11000001</v>
      </c>
      <c r="I14" s="110"/>
      <c r="J14" s="14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s="45" customFormat="1" ht="47.25" x14ac:dyDescent="0.25">
      <c r="A15" s="30" t="s">
        <v>292</v>
      </c>
      <c r="B15" s="47" t="s">
        <v>291</v>
      </c>
      <c r="C15" s="47" t="s">
        <v>293</v>
      </c>
      <c r="D15" s="47"/>
      <c r="E15" s="47"/>
      <c r="F15" s="48">
        <f>F16</f>
        <v>8175148.0999999996</v>
      </c>
      <c r="G15" s="48">
        <f t="shared" ref="F15:H18" si="1">G16</f>
        <v>7119360</v>
      </c>
      <c r="H15" s="48">
        <f t="shared" si="1"/>
        <v>7119360</v>
      </c>
      <c r="I15" s="110"/>
      <c r="J15" s="141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  <c r="V15" s="143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s="45" customFormat="1" ht="15.75" x14ac:dyDescent="0.25">
      <c r="A16" s="30" t="s">
        <v>294</v>
      </c>
      <c r="B16" s="47" t="s">
        <v>291</v>
      </c>
      <c r="C16" s="47" t="s">
        <v>293</v>
      </c>
      <c r="D16" s="47" t="s">
        <v>295</v>
      </c>
      <c r="E16" s="47"/>
      <c r="F16" s="48">
        <f>F17</f>
        <v>8175148.0999999996</v>
      </c>
      <c r="G16" s="48">
        <f t="shared" si="1"/>
        <v>7119360</v>
      </c>
      <c r="H16" s="48">
        <f t="shared" si="1"/>
        <v>7119360</v>
      </c>
      <c r="I16" s="110"/>
      <c r="J16" s="141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43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ht="30" x14ac:dyDescent="0.2">
      <c r="A17" s="26" t="s">
        <v>296</v>
      </c>
      <c r="B17" s="49" t="s">
        <v>291</v>
      </c>
      <c r="C17" s="49" t="s">
        <v>293</v>
      </c>
      <c r="D17" s="49" t="s">
        <v>297</v>
      </c>
      <c r="E17" s="49"/>
      <c r="F17" s="50">
        <f t="shared" si="1"/>
        <v>8175148.0999999996</v>
      </c>
      <c r="G17" s="50">
        <f t="shared" si="1"/>
        <v>7119360</v>
      </c>
      <c r="H17" s="50">
        <f t="shared" si="1"/>
        <v>7119360</v>
      </c>
    </row>
    <row r="18" spans="1:32" x14ac:dyDescent="0.2">
      <c r="A18" s="26" t="s">
        <v>298</v>
      </c>
      <c r="B18" s="49" t="s">
        <v>291</v>
      </c>
      <c r="C18" s="49" t="s">
        <v>293</v>
      </c>
      <c r="D18" s="49" t="s">
        <v>299</v>
      </c>
      <c r="E18" s="49"/>
      <c r="F18" s="50">
        <f t="shared" si="1"/>
        <v>8175148.0999999996</v>
      </c>
      <c r="G18" s="50">
        <f t="shared" si="1"/>
        <v>7119360</v>
      </c>
      <c r="H18" s="50">
        <f t="shared" si="1"/>
        <v>7119360</v>
      </c>
    </row>
    <row r="19" spans="1:32" ht="75" x14ac:dyDescent="0.2">
      <c r="A19" s="26" t="s">
        <v>193</v>
      </c>
      <c r="B19" s="49" t="s">
        <v>291</v>
      </c>
      <c r="C19" s="49" t="s">
        <v>293</v>
      </c>
      <c r="D19" s="49" t="s">
        <v>299</v>
      </c>
      <c r="E19" s="49" t="s">
        <v>222</v>
      </c>
      <c r="F19" s="51">
        <f>7119360+1064188.1-8400</f>
        <v>8175148.0999999996</v>
      </c>
      <c r="G19" s="51">
        <v>7119360</v>
      </c>
      <c r="H19" s="51">
        <v>7119360</v>
      </c>
    </row>
    <row r="20" spans="1:32" s="45" customFormat="1" ht="63" x14ac:dyDescent="0.25">
      <c r="A20" s="30" t="s">
        <v>300</v>
      </c>
      <c r="B20" s="47" t="s">
        <v>291</v>
      </c>
      <c r="C20" s="47" t="s">
        <v>301</v>
      </c>
      <c r="D20" s="47"/>
      <c r="E20" s="47"/>
      <c r="F20" s="48">
        <f t="shared" ref="F20:H22" si="2">F21</f>
        <v>3854672.66</v>
      </c>
      <c r="G20" s="48">
        <f t="shared" si="2"/>
        <v>3952396.66</v>
      </c>
      <c r="H20" s="48">
        <f t="shared" si="2"/>
        <v>3952396.66</v>
      </c>
      <c r="I20" s="110"/>
      <c r="J20" s="141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V20" s="143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s="45" customFormat="1" ht="15.75" x14ac:dyDescent="0.25">
      <c r="A21" s="30" t="s">
        <v>294</v>
      </c>
      <c r="B21" s="47" t="s">
        <v>291</v>
      </c>
      <c r="C21" s="47" t="s">
        <v>301</v>
      </c>
      <c r="D21" s="47" t="s">
        <v>295</v>
      </c>
      <c r="E21" s="47"/>
      <c r="F21" s="48">
        <f t="shared" si="2"/>
        <v>3854672.66</v>
      </c>
      <c r="G21" s="48">
        <f t="shared" si="2"/>
        <v>3952396.66</v>
      </c>
      <c r="H21" s="48">
        <f t="shared" si="2"/>
        <v>3952396.66</v>
      </c>
      <c r="I21" s="110"/>
      <c r="J21" s="141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3"/>
      <c r="V21" s="143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ht="30" x14ac:dyDescent="0.2">
      <c r="A22" s="26" t="s">
        <v>296</v>
      </c>
      <c r="B22" s="49" t="s">
        <v>291</v>
      </c>
      <c r="C22" s="49" t="s">
        <v>301</v>
      </c>
      <c r="D22" s="49" t="s">
        <v>297</v>
      </c>
      <c r="E22" s="49"/>
      <c r="F22" s="50">
        <f t="shared" si="2"/>
        <v>3854672.66</v>
      </c>
      <c r="G22" s="50">
        <f t="shared" si="2"/>
        <v>3952396.66</v>
      </c>
      <c r="H22" s="50">
        <f t="shared" si="2"/>
        <v>3952396.66</v>
      </c>
    </row>
    <row r="23" spans="1:32" ht="30" x14ac:dyDescent="0.2">
      <c r="A23" s="25" t="s">
        <v>302</v>
      </c>
      <c r="B23" s="49" t="s">
        <v>291</v>
      </c>
      <c r="C23" s="49" t="s">
        <v>301</v>
      </c>
      <c r="D23" s="49" t="s">
        <v>303</v>
      </c>
      <c r="E23" s="49"/>
      <c r="F23" s="50">
        <f>F24+F25+F26</f>
        <v>3854672.66</v>
      </c>
      <c r="G23" s="50">
        <f>G24+G25+G26</f>
        <v>3952396.66</v>
      </c>
      <c r="H23" s="50">
        <f>H24+H25+H26</f>
        <v>3952396.66</v>
      </c>
    </row>
    <row r="24" spans="1:32" ht="75" x14ac:dyDescent="0.2">
      <c r="A24" s="26" t="s">
        <v>193</v>
      </c>
      <c r="B24" s="49" t="s">
        <v>291</v>
      </c>
      <c r="C24" s="49" t="s">
        <v>301</v>
      </c>
      <c r="D24" s="49" t="s">
        <v>303</v>
      </c>
      <c r="E24" s="49" t="s">
        <v>222</v>
      </c>
      <c r="F24" s="51">
        <f>958894.66-50000-334860-36524</f>
        <v>537510.66</v>
      </c>
      <c r="G24" s="51">
        <f>958894.66-50000-334860</f>
        <v>574034.66</v>
      </c>
      <c r="H24" s="51">
        <f>958894.66-50000-334860</f>
        <v>574034.66</v>
      </c>
    </row>
    <row r="25" spans="1:32" ht="30" x14ac:dyDescent="0.2">
      <c r="A25" s="26" t="s">
        <v>194</v>
      </c>
      <c r="B25" s="49" t="s">
        <v>291</v>
      </c>
      <c r="C25" s="49" t="s">
        <v>301</v>
      </c>
      <c r="D25" s="49" t="s">
        <v>303</v>
      </c>
      <c r="E25" s="49" t="s">
        <v>241</v>
      </c>
      <c r="F25" s="51">
        <f>3358362-20000-41200</f>
        <v>3297162</v>
      </c>
      <c r="G25" s="51">
        <v>3358362</v>
      </c>
      <c r="H25" s="51">
        <v>3358362</v>
      </c>
    </row>
    <row r="26" spans="1:32" x14ac:dyDescent="0.2">
      <c r="A26" s="26" t="s">
        <v>196</v>
      </c>
      <c r="B26" s="49" t="s">
        <v>291</v>
      </c>
      <c r="C26" s="49" t="s">
        <v>301</v>
      </c>
      <c r="D26" s="49" t="s">
        <v>303</v>
      </c>
      <c r="E26" s="49" t="s">
        <v>223</v>
      </c>
      <c r="F26" s="50">
        <v>20000</v>
      </c>
      <c r="G26" s="50">
        <v>20000</v>
      </c>
      <c r="H26" s="50">
        <v>20000</v>
      </c>
    </row>
    <row r="27" spans="1:32" s="45" customFormat="1" ht="78.75" x14ac:dyDescent="0.25">
      <c r="A27" s="52" t="s">
        <v>304</v>
      </c>
      <c r="B27" s="47" t="s">
        <v>291</v>
      </c>
      <c r="C27" s="47" t="s">
        <v>305</v>
      </c>
      <c r="D27" s="47"/>
      <c r="E27" s="47"/>
      <c r="F27" s="48">
        <f t="shared" ref="F27:H29" si="3">F28</f>
        <v>71110942.560000002</v>
      </c>
      <c r="G27" s="48">
        <f t="shared" si="3"/>
        <v>63299903.520000003</v>
      </c>
      <c r="H27" s="48">
        <f t="shared" si="3"/>
        <v>63299903.520000003</v>
      </c>
      <c r="I27" s="110"/>
      <c r="J27" s="141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V27" s="143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5" customFormat="1" ht="15.75" x14ac:dyDescent="0.25">
      <c r="A28" s="30" t="s">
        <v>294</v>
      </c>
      <c r="B28" s="47" t="s">
        <v>291</v>
      </c>
      <c r="C28" s="47" t="s">
        <v>305</v>
      </c>
      <c r="D28" s="47" t="s">
        <v>295</v>
      </c>
      <c r="E28" s="47"/>
      <c r="F28" s="48">
        <f t="shared" si="3"/>
        <v>71110942.560000002</v>
      </c>
      <c r="G28" s="48">
        <f t="shared" si="3"/>
        <v>63299903.520000003</v>
      </c>
      <c r="H28" s="48">
        <f t="shared" si="3"/>
        <v>63299903.520000003</v>
      </c>
      <c r="I28" s="110"/>
      <c r="J28" s="141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3"/>
      <c r="V28" s="143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 ht="30" x14ac:dyDescent="0.2">
      <c r="A29" s="26" t="s">
        <v>296</v>
      </c>
      <c r="B29" s="49" t="s">
        <v>291</v>
      </c>
      <c r="C29" s="49" t="s">
        <v>305</v>
      </c>
      <c r="D29" s="49" t="s">
        <v>297</v>
      </c>
      <c r="E29" s="49"/>
      <c r="F29" s="50">
        <f t="shared" si="3"/>
        <v>71110942.560000002</v>
      </c>
      <c r="G29" s="50">
        <f t="shared" si="3"/>
        <v>63299903.520000003</v>
      </c>
      <c r="H29" s="50">
        <f t="shared" si="3"/>
        <v>63299903.520000003</v>
      </c>
    </row>
    <row r="30" spans="1:32" ht="30" x14ac:dyDescent="0.2">
      <c r="A30" s="26" t="s">
        <v>306</v>
      </c>
      <c r="B30" s="49" t="s">
        <v>291</v>
      </c>
      <c r="C30" s="49" t="s">
        <v>305</v>
      </c>
      <c r="D30" s="49" t="s">
        <v>307</v>
      </c>
      <c r="E30" s="49"/>
      <c r="F30" s="50">
        <f>F31+F32+F33+F34</f>
        <v>71110942.560000002</v>
      </c>
      <c r="G30" s="50">
        <f>G31+G32+G33+G34</f>
        <v>63299903.520000003</v>
      </c>
      <c r="H30" s="50">
        <f>H31+H32+H33+H34</f>
        <v>63299903.520000003</v>
      </c>
    </row>
    <row r="31" spans="1:32" ht="75" x14ac:dyDescent="0.2">
      <c r="A31" s="26" t="s">
        <v>193</v>
      </c>
      <c r="B31" s="49" t="s">
        <v>291</v>
      </c>
      <c r="C31" s="49" t="s">
        <v>305</v>
      </c>
      <c r="D31" s="49" t="s">
        <v>307</v>
      </c>
      <c r="E31" s="49" t="s">
        <v>222</v>
      </c>
      <c r="F31" s="51">
        <f>55739767.95+1207789.57+7888208.55+1885701.25-622605.4</f>
        <v>66098861.920000002</v>
      </c>
      <c r="G31" s="51">
        <v>56947557.520000003</v>
      </c>
      <c r="H31" s="51">
        <v>56947557.520000003</v>
      </c>
    </row>
    <row r="32" spans="1:32" ht="30" x14ac:dyDescent="0.2">
      <c r="A32" s="26" t="s">
        <v>194</v>
      </c>
      <c r="B32" s="49" t="s">
        <v>291</v>
      </c>
      <c r="C32" s="49" t="s">
        <v>305</v>
      </c>
      <c r="D32" s="49" t="s">
        <v>307</v>
      </c>
      <c r="E32" s="49" t="s">
        <v>241</v>
      </c>
      <c r="F32" s="51">
        <f>6198730-792500-196700+35464-281289.36-105240</f>
        <v>4858464.6399999997</v>
      </c>
      <c r="G32" s="51">
        <v>6198730</v>
      </c>
      <c r="H32" s="51">
        <v>6198730</v>
      </c>
    </row>
    <row r="33" spans="1:32" ht="30" hidden="1" x14ac:dyDescent="0.2">
      <c r="A33" s="26" t="s">
        <v>195</v>
      </c>
      <c r="B33" s="49" t="s">
        <v>291</v>
      </c>
      <c r="C33" s="49" t="s">
        <v>305</v>
      </c>
      <c r="D33" s="49" t="s">
        <v>307</v>
      </c>
      <c r="E33" s="49" t="s">
        <v>246</v>
      </c>
      <c r="F33" s="51"/>
      <c r="G33" s="51"/>
      <c r="H33" s="51"/>
    </row>
    <row r="34" spans="1:32" x14ac:dyDescent="0.2">
      <c r="A34" s="26" t="s">
        <v>196</v>
      </c>
      <c r="B34" s="49" t="s">
        <v>291</v>
      </c>
      <c r="C34" s="49" t="s">
        <v>305</v>
      </c>
      <c r="D34" s="49" t="s">
        <v>307</v>
      </c>
      <c r="E34" s="49" t="s">
        <v>223</v>
      </c>
      <c r="F34" s="51">
        <v>153616</v>
      </c>
      <c r="G34" s="51">
        <v>153616</v>
      </c>
      <c r="H34" s="51">
        <v>153616</v>
      </c>
    </row>
    <row r="35" spans="1:32" s="45" customFormat="1" ht="63" x14ac:dyDescent="0.25">
      <c r="A35" s="30" t="s">
        <v>308</v>
      </c>
      <c r="B35" s="47" t="s">
        <v>291</v>
      </c>
      <c r="C35" s="47" t="s">
        <v>309</v>
      </c>
      <c r="D35" s="47"/>
      <c r="E35" s="47"/>
      <c r="F35" s="48">
        <f>F36</f>
        <v>45975617.810000002</v>
      </c>
      <c r="G35" s="48">
        <f>G36</f>
        <v>39410172.07</v>
      </c>
      <c r="H35" s="48">
        <f>H36</f>
        <v>39410172.07</v>
      </c>
      <c r="I35" s="110"/>
      <c r="J35" s="141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3"/>
      <c r="V35" s="143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32" s="45" customFormat="1" ht="15.75" x14ac:dyDescent="0.25">
      <c r="A36" s="30" t="s">
        <v>294</v>
      </c>
      <c r="B36" s="47" t="s">
        <v>291</v>
      </c>
      <c r="C36" s="47" t="s">
        <v>309</v>
      </c>
      <c r="D36" s="47" t="s">
        <v>295</v>
      </c>
      <c r="E36" s="47"/>
      <c r="F36" s="48">
        <f>F37+F44</f>
        <v>45975617.810000002</v>
      </c>
      <c r="G36" s="48">
        <f>G37+G44</f>
        <v>39410172.07</v>
      </c>
      <c r="H36" s="48">
        <f>H37+H44</f>
        <v>39410172.07</v>
      </c>
      <c r="I36" s="110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V36" s="143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1:32" ht="30" x14ac:dyDescent="0.2">
      <c r="A37" s="26" t="s">
        <v>296</v>
      </c>
      <c r="B37" s="49" t="s">
        <v>291</v>
      </c>
      <c r="C37" s="49" t="s">
        <v>309</v>
      </c>
      <c r="D37" s="49" t="s">
        <v>297</v>
      </c>
      <c r="E37" s="49"/>
      <c r="F37" s="50">
        <f>F38+F40</f>
        <v>12119231.810000001</v>
      </c>
      <c r="G37" s="50">
        <f>G38+G40</f>
        <v>10145858.07</v>
      </c>
      <c r="H37" s="50">
        <f>H38+H40</f>
        <v>10145858.07</v>
      </c>
    </row>
    <row r="38" spans="1:32" ht="30" x14ac:dyDescent="0.2">
      <c r="A38" s="26" t="s">
        <v>310</v>
      </c>
      <c r="B38" s="49" t="s">
        <v>291</v>
      </c>
      <c r="C38" s="49" t="s">
        <v>309</v>
      </c>
      <c r="D38" s="49" t="s">
        <v>311</v>
      </c>
      <c r="E38" s="49"/>
      <c r="F38" s="50">
        <f>F39</f>
        <v>4428437.54</v>
      </c>
      <c r="G38" s="50">
        <f>G39</f>
        <v>3314252</v>
      </c>
      <c r="H38" s="50">
        <f>H39</f>
        <v>3314252</v>
      </c>
    </row>
    <row r="39" spans="1:32" ht="75" x14ac:dyDescent="0.2">
      <c r="A39" s="26" t="s">
        <v>193</v>
      </c>
      <c r="B39" s="49" t="s">
        <v>291</v>
      </c>
      <c r="C39" s="49" t="s">
        <v>309</v>
      </c>
      <c r="D39" s="49" t="s">
        <v>311</v>
      </c>
      <c r="E39" s="49" t="s">
        <v>222</v>
      </c>
      <c r="F39" s="50">
        <f>3314252+480480+633705.54</f>
        <v>4428437.54</v>
      </c>
      <c r="G39" s="50">
        <v>3314252</v>
      </c>
      <c r="H39" s="50">
        <v>3314252</v>
      </c>
    </row>
    <row r="40" spans="1:32" ht="30" x14ac:dyDescent="0.2">
      <c r="A40" s="26" t="s">
        <v>306</v>
      </c>
      <c r="B40" s="49" t="s">
        <v>291</v>
      </c>
      <c r="C40" s="49" t="s">
        <v>309</v>
      </c>
      <c r="D40" s="49" t="s">
        <v>307</v>
      </c>
      <c r="E40" s="49"/>
      <c r="F40" s="50">
        <f>F41+F42+F43</f>
        <v>7690794.2700000005</v>
      </c>
      <c r="G40" s="50">
        <f>G41+G42+G43</f>
        <v>6831606.0700000003</v>
      </c>
      <c r="H40" s="50">
        <f>H41+H42+H43</f>
        <v>6831606.0700000003</v>
      </c>
    </row>
    <row r="41" spans="1:32" ht="75" x14ac:dyDescent="0.2">
      <c r="A41" s="26" t="s">
        <v>193</v>
      </c>
      <c r="B41" s="49" t="s">
        <v>291</v>
      </c>
      <c r="C41" s="49" t="s">
        <v>309</v>
      </c>
      <c r="D41" s="49" t="s">
        <v>307</v>
      </c>
      <c r="E41" s="49" t="s">
        <v>222</v>
      </c>
      <c r="F41" s="51">
        <f>5439106.07+475554+79641+433634.2</f>
        <v>6427935.2700000005</v>
      </c>
      <c r="G41" s="51">
        <v>5439106.0700000003</v>
      </c>
      <c r="H41" s="51">
        <v>5439106.0700000003</v>
      </c>
    </row>
    <row r="42" spans="1:32" ht="30" x14ac:dyDescent="0.2">
      <c r="A42" s="26" t="s">
        <v>194</v>
      </c>
      <c r="B42" s="49" t="s">
        <v>291</v>
      </c>
      <c r="C42" s="49" t="s">
        <v>309</v>
      </c>
      <c r="D42" s="49" t="s">
        <v>307</v>
      </c>
      <c r="E42" s="49" t="s">
        <v>241</v>
      </c>
      <c r="F42" s="51">
        <f>1392500-50000-79641</f>
        <v>1262859</v>
      </c>
      <c r="G42" s="51">
        <v>1392500</v>
      </c>
      <c r="H42" s="51">
        <v>1392500</v>
      </c>
    </row>
    <row r="43" spans="1:32" ht="30" hidden="1" x14ac:dyDescent="0.2">
      <c r="A43" s="26" t="s">
        <v>195</v>
      </c>
      <c r="B43" s="49" t="s">
        <v>291</v>
      </c>
      <c r="C43" s="49" t="s">
        <v>309</v>
      </c>
      <c r="D43" s="49" t="s">
        <v>307</v>
      </c>
      <c r="E43" s="49" t="s">
        <v>246</v>
      </c>
      <c r="F43" s="51">
        <v>0</v>
      </c>
      <c r="G43" s="51">
        <v>0</v>
      </c>
      <c r="H43" s="51">
        <v>0</v>
      </c>
    </row>
    <row r="44" spans="1:32" ht="30" x14ac:dyDescent="0.2">
      <c r="A44" s="26" t="s">
        <v>306</v>
      </c>
      <c r="B44" s="49" t="s">
        <v>291</v>
      </c>
      <c r="C44" s="49" t="s">
        <v>309</v>
      </c>
      <c r="D44" s="49" t="s">
        <v>307</v>
      </c>
      <c r="E44" s="49"/>
      <c r="F44" s="50">
        <f>F45+F46</f>
        <v>33856386</v>
      </c>
      <c r="G44" s="50">
        <f>G45+G46</f>
        <v>29264314</v>
      </c>
      <c r="H44" s="50">
        <f>H45+H46</f>
        <v>29264314</v>
      </c>
    </row>
    <row r="45" spans="1:32" ht="75" x14ac:dyDescent="0.2">
      <c r="A45" s="26" t="s">
        <v>193</v>
      </c>
      <c r="B45" s="49" t="s">
        <v>291</v>
      </c>
      <c r="C45" s="49" t="s">
        <v>309</v>
      </c>
      <c r="D45" s="49" t="s">
        <v>307</v>
      </c>
      <c r="E45" s="49" t="s">
        <v>222</v>
      </c>
      <c r="F45" s="50">
        <f>27336314+2581476+2330596</f>
        <v>32248386</v>
      </c>
      <c r="G45" s="50">
        <v>27336314</v>
      </c>
      <c r="H45" s="50">
        <v>27336314</v>
      </c>
    </row>
    <row r="46" spans="1:32" ht="30" x14ac:dyDescent="0.2">
      <c r="A46" s="26" t="s">
        <v>194</v>
      </c>
      <c r="B46" s="49" t="s">
        <v>291</v>
      </c>
      <c r="C46" s="49" t="s">
        <v>309</v>
      </c>
      <c r="D46" s="49" t="s">
        <v>307</v>
      </c>
      <c r="E46" s="49" t="s">
        <v>241</v>
      </c>
      <c r="F46" s="51">
        <f>1928000-120000-200000</f>
        <v>1608000</v>
      </c>
      <c r="G46" s="51">
        <v>1928000</v>
      </c>
      <c r="H46" s="51">
        <v>1928000</v>
      </c>
    </row>
    <row r="47" spans="1:32" ht="31.5" x14ac:dyDescent="0.25">
      <c r="A47" s="30" t="s">
        <v>383</v>
      </c>
      <c r="B47" s="47" t="s">
        <v>291</v>
      </c>
      <c r="C47" s="47" t="s">
        <v>345</v>
      </c>
      <c r="D47" s="47"/>
      <c r="E47" s="47"/>
      <c r="F47" s="53">
        <f>F48</f>
        <v>6970452</v>
      </c>
      <c r="G47" s="53">
        <f t="shared" ref="G47:H50" si="4">G48</f>
        <v>0</v>
      </c>
      <c r="H47" s="53">
        <f t="shared" si="4"/>
        <v>0</v>
      </c>
    </row>
    <row r="48" spans="1:32" ht="15.75" x14ac:dyDescent="0.25">
      <c r="A48" s="30" t="s">
        <v>294</v>
      </c>
      <c r="B48" s="47" t="s">
        <v>291</v>
      </c>
      <c r="C48" s="47" t="s">
        <v>345</v>
      </c>
      <c r="D48" s="47" t="s">
        <v>295</v>
      </c>
      <c r="E48" s="47"/>
      <c r="F48" s="53">
        <f>F49</f>
        <v>6970452</v>
      </c>
      <c r="G48" s="53">
        <f t="shared" si="4"/>
        <v>0</v>
      </c>
      <c r="H48" s="53">
        <f t="shared" si="4"/>
        <v>0</v>
      </c>
    </row>
    <row r="49" spans="1:32" x14ac:dyDescent="0.2">
      <c r="A49" s="26" t="s">
        <v>382</v>
      </c>
      <c r="B49" s="49" t="s">
        <v>291</v>
      </c>
      <c r="C49" s="49" t="s">
        <v>345</v>
      </c>
      <c r="D49" s="49" t="s">
        <v>381</v>
      </c>
      <c r="E49" s="49"/>
      <c r="F49" s="51">
        <f>F50</f>
        <v>6970452</v>
      </c>
      <c r="G49" s="51">
        <f t="shared" si="4"/>
        <v>0</v>
      </c>
      <c r="H49" s="51">
        <f t="shared" si="4"/>
        <v>0</v>
      </c>
    </row>
    <row r="50" spans="1:32" x14ac:dyDescent="0.2">
      <c r="A50" s="26" t="s">
        <v>379</v>
      </c>
      <c r="B50" s="49" t="s">
        <v>291</v>
      </c>
      <c r="C50" s="49" t="s">
        <v>345</v>
      </c>
      <c r="D50" s="49" t="s">
        <v>380</v>
      </c>
      <c r="E50" s="49"/>
      <c r="F50" s="51">
        <f>F51</f>
        <v>6970452</v>
      </c>
      <c r="G50" s="51">
        <f t="shared" si="4"/>
        <v>0</v>
      </c>
      <c r="H50" s="51">
        <f t="shared" si="4"/>
        <v>0</v>
      </c>
    </row>
    <row r="51" spans="1:32" x14ac:dyDescent="0.2">
      <c r="A51" s="26" t="s">
        <v>196</v>
      </c>
      <c r="B51" s="49" t="s">
        <v>291</v>
      </c>
      <c r="C51" s="49" t="s">
        <v>345</v>
      </c>
      <c r="D51" s="49" t="s">
        <v>380</v>
      </c>
      <c r="E51" s="49" t="s">
        <v>223</v>
      </c>
      <c r="F51" s="51">
        <v>6970452</v>
      </c>
      <c r="G51" s="51">
        <v>0</v>
      </c>
      <c r="H51" s="51">
        <v>0</v>
      </c>
    </row>
    <row r="52" spans="1:32" s="45" customFormat="1" ht="15.75" x14ac:dyDescent="0.25">
      <c r="A52" s="30" t="s">
        <v>312</v>
      </c>
      <c r="B52" s="47" t="s">
        <v>291</v>
      </c>
      <c r="C52" s="47" t="s">
        <v>313</v>
      </c>
      <c r="D52" s="47"/>
      <c r="E52" s="47"/>
      <c r="F52" s="48">
        <f t="shared" ref="F52:H55" si="5">F53</f>
        <v>20291093.749999993</v>
      </c>
      <c r="G52" s="48">
        <f t="shared" si="5"/>
        <v>30000000</v>
      </c>
      <c r="H52" s="48">
        <f t="shared" si="5"/>
        <v>30000000</v>
      </c>
      <c r="I52" s="110"/>
      <c r="J52" s="141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3"/>
      <c r="V52" s="143"/>
      <c r="W52" s="46"/>
      <c r="X52" s="46"/>
      <c r="Y52" s="46"/>
      <c r="Z52" s="46"/>
      <c r="AA52" s="46"/>
      <c r="AB52" s="46"/>
      <c r="AC52" s="46"/>
      <c r="AD52" s="46"/>
      <c r="AE52" s="46"/>
      <c r="AF52" s="46"/>
    </row>
    <row r="53" spans="1:32" s="45" customFormat="1" ht="15.75" x14ac:dyDescent="0.25">
      <c r="A53" s="30" t="s">
        <v>294</v>
      </c>
      <c r="B53" s="47" t="s">
        <v>291</v>
      </c>
      <c r="C53" s="47" t="s">
        <v>313</v>
      </c>
      <c r="D53" s="47" t="s">
        <v>295</v>
      </c>
      <c r="E53" s="47"/>
      <c r="F53" s="48">
        <f t="shared" si="5"/>
        <v>20291093.749999993</v>
      </c>
      <c r="G53" s="48">
        <f t="shared" si="5"/>
        <v>30000000</v>
      </c>
      <c r="H53" s="48">
        <f t="shared" si="5"/>
        <v>30000000</v>
      </c>
      <c r="I53" s="110"/>
      <c r="J53" s="141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V53" s="143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x14ac:dyDescent="0.2">
      <c r="A54" s="26" t="s">
        <v>314</v>
      </c>
      <c r="B54" s="49" t="s">
        <v>291</v>
      </c>
      <c r="C54" s="49" t="s">
        <v>313</v>
      </c>
      <c r="D54" s="49" t="s">
        <v>315</v>
      </c>
      <c r="E54" s="49"/>
      <c r="F54" s="50">
        <f t="shared" si="5"/>
        <v>20291093.749999993</v>
      </c>
      <c r="G54" s="50">
        <f t="shared" si="5"/>
        <v>30000000</v>
      </c>
      <c r="H54" s="50">
        <f t="shared" si="5"/>
        <v>30000000</v>
      </c>
    </row>
    <row r="55" spans="1:32" x14ac:dyDescent="0.2">
      <c r="A55" s="26" t="s">
        <v>316</v>
      </c>
      <c r="B55" s="49" t="s">
        <v>291</v>
      </c>
      <c r="C55" s="49" t="s">
        <v>313</v>
      </c>
      <c r="D55" s="49" t="s">
        <v>317</v>
      </c>
      <c r="E55" s="49"/>
      <c r="F55" s="50">
        <f t="shared" si="5"/>
        <v>20291093.749999993</v>
      </c>
      <c r="G55" s="50">
        <f t="shared" si="5"/>
        <v>30000000</v>
      </c>
      <c r="H55" s="50">
        <f t="shared" si="5"/>
        <v>30000000</v>
      </c>
      <c r="O55" s="144"/>
      <c r="P55" s="144"/>
    </row>
    <row r="56" spans="1:32" ht="18" x14ac:dyDescent="0.25">
      <c r="A56" s="26" t="s">
        <v>196</v>
      </c>
      <c r="B56" s="49" t="s">
        <v>291</v>
      </c>
      <c r="C56" s="49" t="s">
        <v>313</v>
      </c>
      <c r="D56" s="49" t="s">
        <v>317</v>
      </c>
      <c r="E56" s="49" t="s">
        <v>223</v>
      </c>
      <c r="F56" s="51">
        <f>50000000-2500000-608800-4561714.79-1953351.6+2500000+608800+4561714.79-491373.36+491373.36-396190.28+396190.28-4000000+4000000-164798.4+164798.4-22228.88-714078+714078-908760+908760-10000000-4800731.99-460919-1062299-75000-4798676.55-4768543.23-767156-1000000-1466300+1466300-301004.68+301004.68-2596000+2596000</f>
        <v>20291093.749999993</v>
      </c>
      <c r="G56" s="51">
        <v>30000000</v>
      </c>
      <c r="H56" s="51">
        <v>30000000</v>
      </c>
      <c r="V56" s="144"/>
      <c r="Z56" s="171"/>
    </row>
    <row r="57" spans="1:32" s="45" customFormat="1" ht="15.75" x14ac:dyDescent="0.25">
      <c r="A57" s="30" t="s">
        <v>318</v>
      </c>
      <c r="B57" s="47" t="s">
        <v>291</v>
      </c>
      <c r="C57" s="47" t="s">
        <v>319</v>
      </c>
      <c r="D57" s="47"/>
      <c r="E57" s="47"/>
      <c r="F57" s="48">
        <f>F58</f>
        <v>551995523.97000003</v>
      </c>
      <c r="G57" s="48">
        <f>G58</f>
        <v>413679094.86000001</v>
      </c>
      <c r="H57" s="48">
        <f>H58</f>
        <v>413679094.86000001</v>
      </c>
      <c r="I57" s="110"/>
      <c r="J57" s="141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3"/>
      <c r="V57" s="143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1:32" s="45" customFormat="1" ht="15.75" x14ac:dyDescent="0.25">
      <c r="A58" s="30" t="s">
        <v>294</v>
      </c>
      <c r="B58" s="47" t="s">
        <v>291</v>
      </c>
      <c r="C58" s="47" t="s">
        <v>319</v>
      </c>
      <c r="D58" s="43">
        <v>9900000000</v>
      </c>
      <c r="E58" s="47"/>
      <c r="F58" s="48">
        <f>F59+F82</f>
        <v>551995523.97000003</v>
      </c>
      <c r="G58" s="48">
        <f>G59+G82</f>
        <v>413679094.86000001</v>
      </c>
      <c r="H58" s="48">
        <f>H59+H82</f>
        <v>413679094.86000001</v>
      </c>
      <c r="I58" s="110"/>
      <c r="J58" s="141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3"/>
      <c r="V58" s="143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1:32" ht="30" x14ac:dyDescent="0.2">
      <c r="A59" s="26" t="s">
        <v>296</v>
      </c>
      <c r="B59" s="49" t="s">
        <v>291</v>
      </c>
      <c r="C59" s="49" t="s">
        <v>319</v>
      </c>
      <c r="D59" s="40">
        <v>9910000000</v>
      </c>
      <c r="E59" s="49"/>
      <c r="F59" s="50">
        <f>F60+F62+F64+F68+F70+F74+F78</f>
        <v>446950562.29000002</v>
      </c>
      <c r="G59" s="50">
        <f>G60+G62+G64+G68+G70+G74+G78</f>
        <v>408093714.86000001</v>
      </c>
      <c r="H59" s="50">
        <f>H60+H62+H64+H68+H70+H74+H78</f>
        <v>408093714.86000001</v>
      </c>
    </row>
    <row r="60" spans="1:32" ht="30" x14ac:dyDescent="0.2">
      <c r="A60" s="25" t="s">
        <v>306</v>
      </c>
      <c r="B60" s="49" t="s">
        <v>291</v>
      </c>
      <c r="C60" s="49" t="s">
        <v>319</v>
      </c>
      <c r="D60" s="40">
        <v>9910011410</v>
      </c>
      <c r="E60" s="49"/>
      <c r="F60" s="50">
        <f>F61</f>
        <v>1354099.6199999999</v>
      </c>
      <c r="G60" s="50">
        <f>G61</f>
        <v>1098864.1299999999</v>
      </c>
      <c r="H60" s="50">
        <f>H61</f>
        <v>1098864.1299999999</v>
      </c>
    </row>
    <row r="61" spans="1:32" ht="75" x14ac:dyDescent="0.2">
      <c r="A61" s="25" t="s">
        <v>193</v>
      </c>
      <c r="B61" s="49" t="s">
        <v>291</v>
      </c>
      <c r="C61" s="49" t="s">
        <v>319</v>
      </c>
      <c r="D61" s="40">
        <v>9910011410</v>
      </c>
      <c r="E61" s="49" t="s">
        <v>222</v>
      </c>
      <c r="F61" s="50">
        <f>1098864.13-112217.36+367452.85</f>
        <v>1354099.6199999999</v>
      </c>
      <c r="G61" s="50">
        <v>1098864.1299999999</v>
      </c>
      <c r="H61" s="50">
        <v>1098864.1299999999</v>
      </c>
    </row>
    <row r="62" spans="1:32" ht="30" x14ac:dyDescent="0.2">
      <c r="A62" s="25" t="s">
        <v>320</v>
      </c>
      <c r="B62" s="49" t="s">
        <v>291</v>
      </c>
      <c r="C62" s="49" t="s">
        <v>319</v>
      </c>
      <c r="D62" s="40">
        <v>9910022001</v>
      </c>
      <c r="E62" s="49"/>
      <c r="F62" s="50">
        <f>F63</f>
        <v>2287286</v>
      </c>
      <c r="G62" s="50">
        <f>G63</f>
        <v>2287286</v>
      </c>
      <c r="H62" s="50">
        <f>H63</f>
        <v>2287286</v>
      </c>
    </row>
    <row r="63" spans="1:32" ht="75" x14ac:dyDescent="0.2">
      <c r="A63" s="25" t="s">
        <v>193</v>
      </c>
      <c r="B63" s="49" t="s">
        <v>291</v>
      </c>
      <c r="C63" s="49" t="s">
        <v>319</v>
      </c>
      <c r="D63" s="40">
        <v>9910022001</v>
      </c>
      <c r="E63" s="49" t="s">
        <v>222</v>
      </c>
      <c r="F63" s="50">
        <v>2287286</v>
      </c>
      <c r="G63" s="50">
        <v>2287286</v>
      </c>
      <c r="H63" s="50">
        <v>2287286</v>
      </c>
    </row>
    <row r="64" spans="1:32" ht="30" x14ac:dyDescent="0.2">
      <c r="A64" s="25" t="s">
        <v>320</v>
      </c>
      <c r="B64" s="49" t="s">
        <v>291</v>
      </c>
      <c r="C64" s="49" t="s">
        <v>319</v>
      </c>
      <c r="D64" s="40">
        <v>9910022001</v>
      </c>
      <c r="E64" s="49"/>
      <c r="F64" s="50">
        <f>F65+F66+F67</f>
        <v>5412126.6299999999</v>
      </c>
      <c r="G64" s="50">
        <f t="shared" ref="G64:H64" si="6">G65+G66+G67</f>
        <v>5125073.63</v>
      </c>
      <c r="H64" s="50">
        <f t="shared" si="6"/>
        <v>5125073.63</v>
      </c>
    </row>
    <row r="65" spans="1:8" ht="75" x14ac:dyDescent="0.2">
      <c r="A65" s="26" t="s">
        <v>193</v>
      </c>
      <c r="B65" s="49" t="s">
        <v>291</v>
      </c>
      <c r="C65" s="49" t="s">
        <v>319</v>
      </c>
      <c r="D65" s="40">
        <v>9910022001</v>
      </c>
      <c r="E65" s="49" t="s">
        <v>222</v>
      </c>
      <c r="F65" s="51">
        <f>4293590.99+54370+182683+50000</f>
        <v>4580643.99</v>
      </c>
      <c r="G65" s="51">
        <v>4293590.99</v>
      </c>
      <c r="H65" s="51">
        <v>4293590.99</v>
      </c>
    </row>
    <row r="66" spans="1:8" ht="30" x14ac:dyDescent="0.2">
      <c r="A66" s="26" t="s">
        <v>194</v>
      </c>
      <c r="B66" s="49" t="s">
        <v>291</v>
      </c>
      <c r="C66" s="49" t="s">
        <v>319</v>
      </c>
      <c r="D66" s="40">
        <v>9910022001</v>
      </c>
      <c r="E66" s="49" t="s">
        <v>241</v>
      </c>
      <c r="F66" s="51">
        <f>831482.64-3000</f>
        <v>828482.64</v>
      </c>
      <c r="G66" s="51">
        <v>831482.64</v>
      </c>
      <c r="H66" s="51">
        <v>831482.64</v>
      </c>
    </row>
    <row r="67" spans="1:8" x14ac:dyDescent="0.2">
      <c r="A67" s="26" t="s">
        <v>196</v>
      </c>
      <c r="B67" s="49" t="s">
        <v>291</v>
      </c>
      <c r="C67" s="49" t="s">
        <v>319</v>
      </c>
      <c r="D67" s="40">
        <v>9910022001</v>
      </c>
      <c r="E67" s="49" t="s">
        <v>223</v>
      </c>
      <c r="F67" s="51">
        <v>3000</v>
      </c>
      <c r="G67" s="51">
        <v>0</v>
      </c>
      <c r="H67" s="51">
        <v>0</v>
      </c>
    </row>
    <row r="68" spans="1:8" ht="30" x14ac:dyDescent="0.2">
      <c r="A68" s="25" t="s">
        <v>320</v>
      </c>
      <c r="B68" s="49" t="s">
        <v>291</v>
      </c>
      <c r="C68" s="49" t="s">
        <v>319</v>
      </c>
      <c r="D68" s="40">
        <v>9910022001</v>
      </c>
      <c r="E68" s="49"/>
      <c r="F68" s="50">
        <f>SUM(F69:F69)</f>
        <v>290760354.23000002</v>
      </c>
      <c r="G68" s="50">
        <f>SUM(G69:G69)</f>
        <v>256831322.81999999</v>
      </c>
      <c r="H68" s="50">
        <f>SUM(H69:H69)</f>
        <v>256831322.81999999</v>
      </c>
    </row>
    <row r="69" spans="1:8" ht="45" x14ac:dyDescent="0.2">
      <c r="A69" s="25" t="s">
        <v>201</v>
      </c>
      <c r="B69" s="49" t="s">
        <v>291</v>
      </c>
      <c r="C69" s="49" t="s">
        <v>319</v>
      </c>
      <c r="D69" s="40">
        <v>9910022001</v>
      </c>
      <c r="E69" s="49" t="s">
        <v>321</v>
      </c>
      <c r="F69" s="178">
        <f>256831322.82+8500000+7900333.3+17528698.11</f>
        <v>290760354.23000002</v>
      </c>
      <c r="G69" s="178">
        <v>256831322.81999999</v>
      </c>
      <c r="H69" s="178">
        <v>256831322.81999999</v>
      </c>
    </row>
    <row r="70" spans="1:8" ht="30" x14ac:dyDescent="0.2">
      <c r="A70" s="25" t="s">
        <v>320</v>
      </c>
      <c r="B70" s="49" t="s">
        <v>291</v>
      </c>
      <c r="C70" s="49" t="s">
        <v>319</v>
      </c>
      <c r="D70" s="40">
        <v>9910022001</v>
      </c>
      <c r="E70" s="49"/>
      <c r="F70" s="50">
        <f>SUM(F71:F73)</f>
        <v>49724991.93</v>
      </c>
      <c r="G70" s="50">
        <f>SUM(G71:G73)</f>
        <v>46041121</v>
      </c>
      <c r="H70" s="50">
        <f>SUM(H71:H73)</f>
        <v>46041121</v>
      </c>
    </row>
    <row r="71" spans="1:8" ht="75" x14ac:dyDescent="0.2">
      <c r="A71" s="26" t="s">
        <v>193</v>
      </c>
      <c r="B71" s="49" t="s">
        <v>291</v>
      </c>
      <c r="C71" s="49" t="s">
        <v>319</v>
      </c>
      <c r="D71" s="40">
        <v>9910022001</v>
      </c>
      <c r="E71" s="49" t="s">
        <v>222</v>
      </c>
      <c r="F71" s="50">
        <f>42177697+3640484.45+784984.48-12600</f>
        <v>46590565.93</v>
      </c>
      <c r="G71" s="50">
        <v>42177697</v>
      </c>
      <c r="H71" s="50">
        <v>42177697</v>
      </c>
    </row>
    <row r="72" spans="1:8" ht="30" x14ac:dyDescent="0.2">
      <c r="A72" s="26" t="s">
        <v>194</v>
      </c>
      <c r="B72" s="49" t="s">
        <v>291</v>
      </c>
      <c r="C72" s="49" t="s">
        <v>319</v>
      </c>
      <c r="D72" s="40">
        <v>9910022001</v>
      </c>
      <c r="E72" s="49" t="s">
        <v>241</v>
      </c>
      <c r="F72" s="51">
        <f>3863424-348500-818992+98384+198960+245000-103850</f>
        <v>3134426</v>
      </c>
      <c r="G72" s="51">
        <v>3863424</v>
      </c>
      <c r="H72" s="51">
        <v>3863424</v>
      </c>
    </row>
    <row r="73" spans="1:8" hidden="1" x14ac:dyDescent="0.2">
      <c r="A73" s="26" t="s">
        <v>196</v>
      </c>
      <c r="B73" s="49" t="s">
        <v>291</v>
      </c>
      <c r="C73" s="49" t="s">
        <v>319</v>
      </c>
      <c r="D73" s="40">
        <v>9910022001</v>
      </c>
      <c r="E73" s="49" t="s">
        <v>246</v>
      </c>
      <c r="F73" s="51"/>
      <c r="G73" s="51">
        <v>0</v>
      </c>
      <c r="H73" s="51">
        <v>0</v>
      </c>
    </row>
    <row r="74" spans="1:8" ht="30" x14ac:dyDescent="0.2">
      <c r="A74" s="26" t="s">
        <v>296</v>
      </c>
      <c r="B74" s="49" t="s">
        <v>291</v>
      </c>
      <c r="C74" s="49" t="s">
        <v>319</v>
      </c>
      <c r="D74" s="40">
        <v>9910000000</v>
      </c>
      <c r="E74" s="40"/>
      <c r="F74" s="51">
        <f>F75+F76+F77</f>
        <v>12946059.98</v>
      </c>
      <c r="G74" s="51">
        <f>G75+G76+G77</f>
        <v>12971111.98</v>
      </c>
      <c r="H74" s="51">
        <f>H75+H76+H77</f>
        <v>12971111.98</v>
      </c>
    </row>
    <row r="75" spans="1:8" ht="75" x14ac:dyDescent="0.2">
      <c r="A75" s="26" t="s">
        <v>193</v>
      </c>
      <c r="B75" s="49" t="s">
        <v>291</v>
      </c>
      <c r="C75" s="49" t="s">
        <v>319</v>
      </c>
      <c r="D75" s="40">
        <v>9910022001</v>
      </c>
      <c r="E75" s="40">
        <v>100</v>
      </c>
      <c r="F75" s="51">
        <f>9385978-2606442+183556</f>
        <v>6963092</v>
      </c>
      <c r="G75" s="51">
        <f>9385978-2606442</f>
        <v>6779536</v>
      </c>
      <c r="H75" s="51">
        <f>9385978-2606442</f>
        <v>6779536</v>
      </c>
    </row>
    <row r="76" spans="1:8" ht="30" x14ac:dyDescent="0.2">
      <c r="A76" s="26" t="s">
        <v>194</v>
      </c>
      <c r="B76" s="49" t="s">
        <v>291</v>
      </c>
      <c r="C76" s="49" t="s">
        <v>319</v>
      </c>
      <c r="D76" s="40">
        <v>9910022001</v>
      </c>
      <c r="E76" s="40">
        <v>200</v>
      </c>
      <c r="F76" s="51">
        <f>5113285.98-126856-81752</f>
        <v>4904677.9800000004</v>
      </c>
      <c r="G76" s="51">
        <v>5113285.9800000004</v>
      </c>
      <c r="H76" s="51">
        <v>5113285.9800000004</v>
      </c>
    </row>
    <row r="77" spans="1:8" x14ac:dyDescent="0.2">
      <c r="A77" s="25" t="s">
        <v>196</v>
      </c>
      <c r="B77" s="49" t="s">
        <v>291</v>
      </c>
      <c r="C77" s="49" t="s">
        <v>319</v>
      </c>
      <c r="D77" s="40">
        <v>9910022001</v>
      </c>
      <c r="E77" s="40">
        <v>800</v>
      </c>
      <c r="F77" s="51">
        <v>1078290</v>
      </c>
      <c r="G77" s="51">
        <v>1078290</v>
      </c>
      <c r="H77" s="51">
        <v>1078290</v>
      </c>
    </row>
    <row r="78" spans="1:8" ht="30" x14ac:dyDescent="0.2">
      <c r="A78" s="26" t="s">
        <v>296</v>
      </c>
      <c r="B78" s="49" t="s">
        <v>291</v>
      </c>
      <c r="C78" s="49" t="s">
        <v>319</v>
      </c>
      <c r="D78" s="40">
        <v>9910000000</v>
      </c>
      <c r="E78" s="40"/>
      <c r="F78" s="51">
        <f>SUM(F79:F81)</f>
        <v>84465643.899999991</v>
      </c>
      <c r="G78" s="51">
        <f t="shared" ref="G78:H78" si="7">SUM(G79:G81)</f>
        <v>83738935.299999997</v>
      </c>
      <c r="H78" s="51">
        <f t="shared" si="7"/>
        <v>83738935.299999997</v>
      </c>
    </row>
    <row r="79" spans="1:8" ht="75" x14ac:dyDescent="0.2">
      <c r="A79" s="26" t="s">
        <v>193</v>
      </c>
      <c r="B79" s="49" t="s">
        <v>291</v>
      </c>
      <c r="C79" s="49" t="s">
        <v>319</v>
      </c>
      <c r="D79" s="40">
        <v>9910022001</v>
      </c>
      <c r="E79" s="40">
        <v>100</v>
      </c>
      <c r="F79" s="51">
        <f>53864056.3+16266945+40000+100000+350000+4136800-3450.84+1734635.6</f>
        <v>76488986.059999987</v>
      </c>
      <c r="G79" s="51">
        <v>74757801.299999997</v>
      </c>
      <c r="H79" s="51">
        <v>74757801.299999997</v>
      </c>
    </row>
    <row r="80" spans="1:8" ht="30" x14ac:dyDescent="0.2">
      <c r="A80" s="26" t="s">
        <v>194</v>
      </c>
      <c r="B80" s="49" t="s">
        <v>291</v>
      </c>
      <c r="C80" s="49" t="s">
        <v>319</v>
      </c>
      <c r="D80" s="40">
        <v>9910022001</v>
      </c>
      <c r="E80" s="40">
        <v>200</v>
      </c>
      <c r="F80" s="51">
        <f>8981134-1200000-1626594+1818667</f>
        <v>7973207</v>
      </c>
      <c r="G80" s="51">
        <v>8981134</v>
      </c>
      <c r="H80" s="51">
        <v>8981134</v>
      </c>
    </row>
    <row r="81" spans="1:8" ht="30" x14ac:dyDescent="0.2">
      <c r="A81" s="26" t="s">
        <v>195</v>
      </c>
      <c r="B81" s="49" t="s">
        <v>291</v>
      </c>
      <c r="C81" s="49" t="s">
        <v>319</v>
      </c>
      <c r="D81" s="40">
        <v>9910022001</v>
      </c>
      <c r="E81" s="40">
        <v>300</v>
      </c>
      <c r="F81" s="51">
        <v>3450.84</v>
      </c>
      <c r="G81" s="51">
        <v>0</v>
      </c>
      <c r="H81" s="51">
        <v>0</v>
      </c>
    </row>
    <row r="82" spans="1:8" x14ac:dyDescent="0.2">
      <c r="A82" s="26" t="s">
        <v>314</v>
      </c>
      <c r="B82" s="49" t="s">
        <v>291</v>
      </c>
      <c r="C82" s="49" t="s">
        <v>319</v>
      </c>
      <c r="D82" s="49" t="s">
        <v>315</v>
      </c>
      <c r="E82" s="49"/>
      <c r="F82" s="50">
        <f>F85+F92+F90+F94+F83+F96</f>
        <v>105044961.67999998</v>
      </c>
      <c r="G82" s="50">
        <f>G85+G92+G90+G94+G83+G96</f>
        <v>5585380</v>
      </c>
      <c r="H82" s="50">
        <f>H85+H92+H90+H94+H83+H96</f>
        <v>5585380</v>
      </c>
    </row>
    <row r="83" spans="1:8" ht="45" x14ac:dyDescent="0.2">
      <c r="A83" s="26" t="s">
        <v>322</v>
      </c>
      <c r="B83" s="49" t="s">
        <v>291</v>
      </c>
      <c r="C83" s="49" t="s">
        <v>319</v>
      </c>
      <c r="D83" s="49" t="s">
        <v>323</v>
      </c>
      <c r="E83" s="49"/>
      <c r="F83" s="50">
        <f>F84</f>
        <v>22228.880000000001</v>
      </c>
      <c r="G83" s="50">
        <f>G84</f>
        <v>0</v>
      </c>
      <c r="H83" s="50">
        <f>H84</f>
        <v>0</v>
      </c>
    </row>
    <row r="84" spans="1:8" x14ac:dyDescent="0.2">
      <c r="A84" s="25" t="s">
        <v>196</v>
      </c>
      <c r="B84" s="49" t="s">
        <v>291</v>
      </c>
      <c r="C84" s="49" t="s">
        <v>319</v>
      </c>
      <c r="D84" s="49" t="s">
        <v>323</v>
      </c>
      <c r="E84" s="49" t="s">
        <v>223</v>
      </c>
      <c r="F84" s="50">
        <v>22228.880000000001</v>
      </c>
      <c r="G84" s="50">
        <v>0</v>
      </c>
      <c r="H84" s="50">
        <v>0</v>
      </c>
    </row>
    <row r="85" spans="1:8" ht="30" x14ac:dyDescent="0.2">
      <c r="A85" s="26" t="s">
        <v>324</v>
      </c>
      <c r="B85" s="49" t="s">
        <v>291</v>
      </c>
      <c r="C85" s="49" t="s">
        <v>319</v>
      </c>
      <c r="D85" s="49" t="s">
        <v>325</v>
      </c>
      <c r="E85" s="49"/>
      <c r="F85" s="50">
        <f>F86+F89+F88+F87</f>
        <v>79291033.079999998</v>
      </c>
      <c r="G85" s="50">
        <f t="shared" ref="G85:H85" si="8">G86+G89+G88+G87</f>
        <v>5355500</v>
      </c>
      <c r="H85" s="50">
        <f t="shared" si="8"/>
        <v>5355500</v>
      </c>
    </row>
    <row r="86" spans="1:8" ht="30" x14ac:dyDescent="0.2">
      <c r="A86" s="26" t="s">
        <v>194</v>
      </c>
      <c r="B86" s="49" t="s">
        <v>291</v>
      </c>
      <c r="C86" s="49" t="s">
        <v>319</v>
      </c>
      <c r="D86" s="49" t="s">
        <v>325</v>
      </c>
      <c r="E86" s="49" t="s">
        <v>241</v>
      </c>
      <c r="F86" s="51">
        <f>5355500+366465+800000-56700+281289.36+37718752.92+75000-505569.57</f>
        <v>44034737.710000001</v>
      </c>
      <c r="G86" s="51">
        <v>5355500</v>
      </c>
      <c r="H86" s="51">
        <v>5355500</v>
      </c>
    </row>
    <row r="87" spans="1:8" ht="30" x14ac:dyDescent="0.2">
      <c r="A87" s="26" t="s">
        <v>195</v>
      </c>
      <c r="B87" s="49" t="s">
        <v>291</v>
      </c>
      <c r="C87" s="49" t="s">
        <v>319</v>
      </c>
      <c r="D87" s="49" t="s">
        <v>325</v>
      </c>
      <c r="E87" s="49" t="s">
        <v>246</v>
      </c>
      <c r="F87" s="51">
        <f>426460+660626.5-150000+1895010+203768</f>
        <v>3035864.5</v>
      </c>
      <c r="G87" s="51"/>
      <c r="H87" s="51"/>
    </row>
    <row r="88" spans="1:8" ht="45" x14ac:dyDescent="0.2">
      <c r="A88" s="25" t="s">
        <v>201</v>
      </c>
      <c r="B88" s="49" t="s">
        <v>291</v>
      </c>
      <c r="C88" s="49" t="s">
        <v>319</v>
      </c>
      <c r="D88" s="49" t="s">
        <v>325</v>
      </c>
      <c r="E88" s="49" t="s">
        <v>321</v>
      </c>
      <c r="F88" s="51">
        <f>5000000-5000000+584704.8+814166.4+89083.2+472484.4+68256+897212.4+590300+392536.8+267706.8+1057731.6+1316250+99207.6+582319.2+816974.4+519482.4+714078+1506103.2+908760+1254745.52+1466300</f>
        <v>14418402.719999999</v>
      </c>
      <c r="G88" s="51">
        <v>0</v>
      </c>
      <c r="H88" s="51">
        <v>0</v>
      </c>
    </row>
    <row r="89" spans="1:8" x14ac:dyDescent="0.2">
      <c r="A89" s="25" t="s">
        <v>196</v>
      </c>
      <c r="B89" s="49" t="s">
        <v>291</v>
      </c>
      <c r="C89" s="49" t="s">
        <v>319</v>
      </c>
      <c r="D89" s="49" t="s">
        <v>325</v>
      </c>
      <c r="E89" s="49" t="s">
        <v>223</v>
      </c>
      <c r="F89" s="51">
        <f>10000000+50000+4798676.55+1000000+1953351.6</f>
        <v>17802028.150000002</v>
      </c>
      <c r="G89" s="51">
        <v>0</v>
      </c>
      <c r="H89" s="51">
        <v>0</v>
      </c>
    </row>
    <row r="90" spans="1:8" ht="30" x14ac:dyDescent="0.2">
      <c r="A90" s="26" t="s">
        <v>324</v>
      </c>
      <c r="B90" s="49" t="s">
        <v>291</v>
      </c>
      <c r="C90" s="49" t="s">
        <v>319</v>
      </c>
      <c r="D90" s="49" t="s">
        <v>325</v>
      </c>
      <c r="E90" s="49"/>
      <c r="F90" s="51">
        <f>F91</f>
        <v>14592519.459999999</v>
      </c>
      <c r="G90" s="51">
        <f>G91</f>
        <v>0</v>
      </c>
      <c r="H90" s="51">
        <f>H91</f>
        <v>0</v>
      </c>
    </row>
    <row r="91" spans="1:8" ht="30" x14ac:dyDescent="0.2">
      <c r="A91" s="26" t="s">
        <v>194</v>
      </c>
      <c r="B91" s="49" t="s">
        <v>291</v>
      </c>
      <c r="C91" s="49" t="s">
        <v>319</v>
      </c>
      <c r="D91" s="49" t="s">
        <v>325</v>
      </c>
      <c r="E91" s="49" t="s">
        <v>241</v>
      </c>
      <c r="F91" s="51">
        <f>100888.66+448562.4+14988841.2+2002143.6-2947916.4</f>
        <v>14592519.459999999</v>
      </c>
      <c r="G91" s="51">
        <v>0</v>
      </c>
      <c r="H91" s="51">
        <v>0</v>
      </c>
    </row>
    <row r="92" spans="1:8" ht="30" x14ac:dyDescent="0.2">
      <c r="A92" s="26" t="s">
        <v>468</v>
      </c>
      <c r="B92" s="49" t="s">
        <v>291</v>
      </c>
      <c r="C92" s="49" t="s">
        <v>319</v>
      </c>
      <c r="D92" s="49" t="s">
        <v>467</v>
      </c>
      <c r="E92" s="49"/>
      <c r="F92" s="50">
        <f>F93</f>
        <v>229880</v>
      </c>
      <c r="G92" s="50">
        <f>G93</f>
        <v>229880</v>
      </c>
      <c r="H92" s="50">
        <f>H93</f>
        <v>229880</v>
      </c>
    </row>
    <row r="93" spans="1:8" ht="30" x14ac:dyDescent="0.2">
      <c r="A93" s="26" t="s">
        <v>195</v>
      </c>
      <c r="B93" s="49" t="s">
        <v>291</v>
      </c>
      <c r="C93" s="49" t="s">
        <v>319</v>
      </c>
      <c r="D93" s="49" t="s">
        <v>467</v>
      </c>
      <c r="E93" s="49" t="s">
        <v>246</v>
      </c>
      <c r="F93" s="51">
        <v>229880</v>
      </c>
      <c r="G93" s="51">
        <v>229880</v>
      </c>
      <c r="H93" s="51">
        <v>229880</v>
      </c>
    </row>
    <row r="94" spans="1:8" ht="30" x14ac:dyDescent="0.2">
      <c r="A94" s="26" t="s">
        <v>324</v>
      </c>
      <c r="B94" s="49" t="s">
        <v>291</v>
      </c>
      <c r="C94" s="49" t="s">
        <v>319</v>
      </c>
      <c r="D94" s="49" t="s">
        <v>325</v>
      </c>
      <c r="E94" s="49"/>
      <c r="F94" s="51">
        <f>F95</f>
        <v>10909300.259999996</v>
      </c>
      <c r="G94" s="51">
        <f>G95</f>
        <v>0</v>
      </c>
      <c r="H94" s="51">
        <f>H95</f>
        <v>0</v>
      </c>
    </row>
    <row r="95" spans="1:8" x14ac:dyDescent="0.2">
      <c r="A95" s="25" t="s">
        <v>196</v>
      </c>
      <c r="B95" s="49" t="s">
        <v>291</v>
      </c>
      <c r="C95" s="49" t="s">
        <v>319</v>
      </c>
      <c r="D95" s="49" t="s">
        <v>325</v>
      </c>
      <c r="E95" s="49" t="s">
        <v>223</v>
      </c>
      <c r="F95" s="51">
        <f>150000000-91062871.73-58078706.61+10050878.6</f>
        <v>10909300.259999996</v>
      </c>
      <c r="G95" s="51">
        <v>0</v>
      </c>
      <c r="H95" s="51">
        <v>0</v>
      </c>
    </row>
    <row r="96" spans="1:8" ht="30" x14ac:dyDescent="0.2">
      <c r="A96" s="26" t="s">
        <v>324</v>
      </c>
      <c r="B96" s="49" t="s">
        <v>291</v>
      </c>
      <c r="C96" s="49" t="s">
        <v>319</v>
      </c>
      <c r="D96" s="49" t="s">
        <v>325</v>
      </c>
      <c r="E96" s="49"/>
      <c r="F96" s="51">
        <f>F97</f>
        <v>0</v>
      </c>
      <c r="G96" s="51">
        <f>G97</f>
        <v>0</v>
      </c>
      <c r="H96" s="51">
        <f>H97</f>
        <v>0</v>
      </c>
    </row>
    <row r="97" spans="1:32" x14ac:dyDescent="0.2">
      <c r="A97" s="25" t="s">
        <v>196</v>
      </c>
      <c r="B97" s="49" t="s">
        <v>291</v>
      </c>
      <c r="C97" s="49" t="s">
        <v>319</v>
      </c>
      <c r="D97" s="49" t="s">
        <v>325</v>
      </c>
      <c r="E97" s="49" t="s">
        <v>223</v>
      </c>
      <c r="F97" s="51">
        <f>39000000-39000000</f>
        <v>0</v>
      </c>
      <c r="G97" s="51">
        <v>0</v>
      </c>
      <c r="H97" s="51">
        <v>0</v>
      </c>
    </row>
    <row r="98" spans="1:32" ht="15.75" x14ac:dyDescent="0.25">
      <c r="A98" s="28" t="s">
        <v>557</v>
      </c>
      <c r="B98" s="47" t="s">
        <v>293</v>
      </c>
      <c r="C98" s="47"/>
      <c r="D98" s="47"/>
      <c r="E98" s="47"/>
      <c r="F98" s="53">
        <f>F99</f>
        <v>15000000</v>
      </c>
      <c r="G98" s="53">
        <f t="shared" ref="G98:H102" si="9">G99</f>
        <v>0</v>
      </c>
      <c r="H98" s="53">
        <f t="shared" si="9"/>
        <v>0</v>
      </c>
    </row>
    <row r="99" spans="1:32" ht="31.5" x14ac:dyDescent="0.25">
      <c r="A99" s="28" t="s">
        <v>558</v>
      </c>
      <c r="B99" s="47" t="s">
        <v>293</v>
      </c>
      <c r="C99" s="47" t="s">
        <v>301</v>
      </c>
      <c r="D99" s="47"/>
      <c r="E99" s="47"/>
      <c r="F99" s="53">
        <f>F100</f>
        <v>15000000</v>
      </c>
      <c r="G99" s="53">
        <f t="shared" si="9"/>
        <v>0</v>
      </c>
      <c r="H99" s="53">
        <f t="shared" si="9"/>
        <v>0</v>
      </c>
    </row>
    <row r="100" spans="1:32" ht="15.75" x14ac:dyDescent="0.25">
      <c r="A100" s="28" t="s">
        <v>294</v>
      </c>
      <c r="B100" s="47" t="s">
        <v>293</v>
      </c>
      <c r="C100" s="47" t="s">
        <v>301</v>
      </c>
      <c r="D100" s="43">
        <v>9900000000</v>
      </c>
      <c r="E100" s="47"/>
      <c r="F100" s="53">
        <f>F101</f>
        <v>15000000</v>
      </c>
      <c r="G100" s="53">
        <f t="shared" si="9"/>
        <v>0</v>
      </c>
      <c r="H100" s="53">
        <f t="shared" si="9"/>
        <v>0</v>
      </c>
    </row>
    <row r="101" spans="1:32" x14ac:dyDescent="0.2">
      <c r="A101" s="26" t="s">
        <v>314</v>
      </c>
      <c r="B101" s="49" t="s">
        <v>293</v>
      </c>
      <c r="C101" s="49" t="s">
        <v>301</v>
      </c>
      <c r="D101" s="40">
        <v>9950000000</v>
      </c>
      <c r="E101" s="49"/>
      <c r="F101" s="51">
        <f>F102</f>
        <v>15000000</v>
      </c>
      <c r="G101" s="51">
        <f t="shared" si="9"/>
        <v>0</v>
      </c>
      <c r="H101" s="51">
        <f t="shared" si="9"/>
        <v>0</v>
      </c>
    </row>
    <row r="102" spans="1:32" x14ac:dyDescent="0.2">
      <c r="A102" s="25" t="s">
        <v>559</v>
      </c>
      <c r="B102" s="49" t="s">
        <v>293</v>
      </c>
      <c r="C102" s="49" t="s">
        <v>301</v>
      </c>
      <c r="D102" s="49" t="s">
        <v>560</v>
      </c>
      <c r="E102" s="49"/>
      <c r="F102" s="51">
        <f>F103</f>
        <v>15000000</v>
      </c>
      <c r="G102" s="51">
        <f t="shared" si="9"/>
        <v>0</v>
      </c>
      <c r="H102" s="51">
        <f t="shared" si="9"/>
        <v>0</v>
      </c>
    </row>
    <row r="103" spans="1:32" ht="30" x14ac:dyDescent="0.2">
      <c r="A103" s="26" t="s">
        <v>194</v>
      </c>
      <c r="B103" s="49" t="s">
        <v>293</v>
      </c>
      <c r="C103" s="49" t="s">
        <v>301</v>
      </c>
      <c r="D103" s="49" t="s">
        <v>560</v>
      </c>
      <c r="E103" s="49" t="s">
        <v>241</v>
      </c>
      <c r="F103" s="51">
        <v>15000000</v>
      </c>
      <c r="G103" s="51">
        <v>0</v>
      </c>
      <c r="H103" s="51">
        <v>0</v>
      </c>
      <c r="J103" s="141">
        <v>15000000</v>
      </c>
    </row>
    <row r="104" spans="1:32" s="45" customFormat="1" ht="31.5" x14ac:dyDescent="0.25">
      <c r="A104" s="30" t="s">
        <v>326</v>
      </c>
      <c r="B104" s="47" t="s">
        <v>301</v>
      </c>
      <c r="C104" s="47"/>
      <c r="D104" s="43"/>
      <c r="E104" s="43"/>
      <c r="F104" s="53">
        <f t="shared" ref="F104:H105" si="10">F105</f>
        <v>15019222.91</v>
      </c>
      <c r="G104" s="53">
        <f t="shared" si="10"/>
        <v>14655349</v>
      </c>
      <c r="H104" s="53">
        <f t="shared" si="10"/>
        <v>14655349</v>
      </c>
      <c r="I104" s="110"/>
      <c r="J104" s="141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3"/>
      <c r="V104" s="143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</row>
    <row r="105" spans="1:32" s="45" customFormat="1" ht="78.75" x14ac:dyDescent="0.25">
      <c r="A105" s="30" t="s">
        <v>327</v>
      </c>
      <c r="B105" s="47" t="s">
        <v>301</v>
      </c>
      <c r="C105" s="47" t="s">
        <v>328</v>
      </c>
      <c r="D105" s="43"/>
      <c r="E105" s="43"/>
      <c r="F105" s="53">
        <f t="shared" si="10"/>
        <v>15019222.91</v>
      </c>
      <c r="G105" s="53">
        <f t="shared" si="10"/>
        <v>14655349</v>
      </c>
      <c r="H105" s="53">
        <f t="shared" si="10"/>
        <v>14655349</v>
      </c>
      <c r="I105" s="110"/>
      <c r="J105" s="141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3"/>
      <c r="V105" s="143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</row>
    <row r="106" spans="1:32" s="45" customFormat="1" ht="15.75" x14ac:dyDescent="0.25">
      <c r="A106" s="28" t="s">
        <v>294</v>
      </c>
      <c r="B106" s="47" t="s">
        <v>301</v>
      </c>
      <c r="C106" s="47" t="s">
        <v>328</v>
      </c>
      <c r="D106" s="43">
        <v>9900000000</v>
      </c>
      <c r="E106" s="43"/>
      <c r="F106" s="53">
        <f>F107+F112</f>
        <v>15019222.91</v>
      </c>
      <c r="G106" s="53">
        <f>G107+G112</f>
        <v>14655349</v>
      </c>
      <c r="H106" s="53">
        <f>H107+H112</f>
        <v>14655349</v>
      </c>
      <c r="I106" s="110"/>
      <c r="J106" s="141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3"/>
      <c r="V106" s="143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</row>
    <row r="107" spans="1:32" ht="30" x14ac:dyDescent="0.2">
      <c r="A107" s="26" t="s">
        <v>296</v>
      </c>
      <c r="B107" s="49" t="s">
        <v>301</v>
      </c>
      <c r="C107" s="49" t="s">
        <v>328</v>
      </c>
      <c r="D107" s="40">
        <v>9910000000</v>
      </c>
      <c r="E107" s="40"/>
      <c r="F107" s="51">
        <f>F108</f>
        <v>14019222.91</v>
      </c>
      <c r="G107" s="51">
        <f>G108</f>
        <v>13155349</v>
      </c>
      <c r="H107" s="51">
        <f>H108</f>
        <v>13155349</v>
      </c>
    </row>
    <row r="108" spans="1:32" ht="30" x14ac:dyDescent="0.2">
      <c r="A108" s="25" t="s">
        <v>320</v>
      </c>
      <c r="B108" s="49" t="s">
        <v>301</v>
      </c>
      <c r="C108" s="49" t="s">
        <v>328</v>
      </c>
      <c r="D108" s="40">
        <v>9910022001</v>
      </c>
      <c r="E108" s="40"/>
      <c r="F108" s="51">
        <f>SUM(F109:F111)</f>
        <v>14019222.91</v>
      </c>
      <c r="G108" s="51">
        <f>SUM(G109:G111)</f>
        <v>13155349</v>
      </c>
      <c r="H108" s="51">
        <f>SUM(H109:H111)</f>
        <v>13155349</v>
      </c>
    </row>
    <row r="109" spans="1:32" ht="75" x14ac:dyDescent="0.2">
      <c r="A109" s="26" t="s">
        <v>193</v>
      </c>
      <c r="B109" s="49" t="s">
        <v>301</v>
      </c>
      <c r="C109" s="49" t="s">
        <v>328</v>
      </c>
      <c r="D109" s="40">
        <v>9910022001</v>
      </c>
      <c r="E109" s="49" t="s">
        <v>222</v>
      </c>
      <c r="F109" s="51">
        <f>9415554+615441.32+612181.59</f>
        <v>10643176.91</v>
      </c>
      <c r="G109" s="51">
        <v>9415554</v>
      </c>
      <c r="H109" s="51">
        <v>9415554</v>
      </c>
    </row>
    <row r="110" spans="1:32" ht="30" x14ac:dyDescent="0.2">
      <c r="A110" s="26" t="s">
        <v>194</v>
      </c>
      <c r="B110" s="49" t="s">
        <v>301</v>
      </c>
      <c r="C110" s="49" t="s">
        <v>328</v>
      </c>
      <c r="D110" s="40">
        <v>9910022001</v>
      </c>
      <c r="E110" s="49" t="s">
        <v>241</v>
      </c>
      <c r="F110" s="51">
        <f>3738715-49749-314000</f>
        <v>3374966</v>
      </c>
      <c r="G110" s="51">
        <v>3738715</v>
      </c>
      <c r="H110" s="51">
        <v>3738715</v>
      </c>
    </row>
    <row r="111" spans="1:32" x14ac:dyDescent="0.2">
      <c r="A111" s="26" t="s">
        <v>196</v>
      </c>
      <c r="B111" s="49" t="s">
        <v>301</v>
      </c>
      <c r="C111" s="49" t="s">
        <v>328</v>
      </c>
      <c r="D111" s="40">
        <v>9910022001</v>
      </c>
      <c r="E111" s="40">
        <v>800</v>
      </c>
      <c r="F111" s="51">
        <v>1080</v>
      </c>
      <c r="G111" s="51">
        <v>1080</v>
      </c>
      <c r="H111" s="51">
        <v>1080</v>
      </c>
    </row>
    <row r="112" spans="1:32" x14ac:dyDescent="0.2">
      <c r="A112" s="26" t="s">
        <v>314</v>
      </c>
      <c r="B112" s="49" t="s">
        <v>301</v>
      </c>
      <c r="C112" s="49" t="s">
        <v>328</v>
      </c>
      <c r="D112" s="40">
        <v>9950000000</v>
      </c>
      <c r="E112" s="40"/>
      <c r="F112" s="51">
        <f t="shared" ref="F112:H113" si="11">F113</f>
        <v>1000000</v>
      </c>
      <c r="G112" s="51">
        <f t="shared" si="11"/>
        <v>1500000</v>
      </c>
      <c r="H112" s="51">
        <f t="shared" si="11"/>
        <v>1500000</v>
      </c>
    </row>
    <row r="113" spans="1:8" ht="45" x14ac:dyDescent="0.2">
      <c r="A113" s="26" t="s">
        <v>329</v>
      </c>
      <c r="B113" s="49" t="s">
        <v>301</v>
      </c>
      <c r="C113" s="49" t="s">
        <v>328</v>
      </c>
      <c r="D113" s="54" t="s">
        <v>330</v>
      </c>
      <c r="E113" s="40"/>
      <c r="F113" s="51">
        <f t="shared" si="11"/>
        <v>1000000</v>
      </c>
      <c r="G113" s="51">
        <f t="shared" si="11"/>
        <v>1500000</v>
      </c>
      <c r="H113" s="51">
        <f t="shared" si="11"/>
        <v>1500000</v>
      </c>
    </row>
    <row r="114" spans="1:8" ht="30" x14ac:dyDescent="0.2">
      <c r="A114" s="26" t="s">
        <v>194</v>
      </c>
      <c r="B114" s="49" t="s">
        <v>301</v>
      </c>
      <c r="C114" s="49" t="s">
        <v>328</v>
      </c>
      <c r="D114" s="54" t="s">
        <v>330</v>
      </c>
      <c r="E114" s="40">
        <v>200</v>
      </c>
      <c r="F114" s="51">
        <v>1000000</v>
      </c>
      <c r="G114" s="51">
        <v>1500000</v>
      </c>
      <c r="H114" s="51">
        <v>1500000</v>
      </c>
    </row>
    <row r="115" spans="1:8" ht="15.75" x14ac:dyDescent="0.25">
      <c r="A115" s="30" t="s">
        <v>331</v>
      </c>
      <c r="B115" s="47" t="s">
        <v>305</v>
      </c>
      <c r="C115" s="47"/>
      <c r="D115" s="55"/>
      <c r="E115" s="43"/>
      <c r="F115" s="53">
        <f>F116+F121+F130</f>
        <v>38128670.760000005</v>
      </c>
      <c r="G115" s="53">
        <f>G116+G121+G130</f>
        <v>5815942.6500000004</v>
      </c>
      <c r="H115" s="53">
        <f>H116+H121+H130</f>
        <v>5815942.6500000004</v>
      </c>
    </row>
    <row r="116" spans="1:8" ht="15.75" x14ac:dyDescent="0.25">
      <c r="A116" s="30" t="s">
        <v>332</v>
      </c>
      <c r="B116" s="47" t="s">
        <v>305</v>
      </c>
      <c r="C116" s="47" t="s">
        <v>291</v>
      </c>
      <c r="D116" s="55"/>
      <c r="E116" s="43"/>
      <c r="F116" s="53">
        <f t="shared" ref="F116:H119" si="12">F117</f>
        <v>305784.54999999993</v>
      </c>
      <c r="G116" s="53">
        <f t="shared" si="12"/>
        <v>847554.33</v>
      </c>
      <c r="H116" s="53">
        <f t="shared" si="12"/>
        <v>847554.33</v>
      </c>
    </row>
    <row r="117" spans="1:8" ht="15.75" x14ac:dyDescent="0.25">
      <c r="A117" s="30" t="s">
        <v>294</v>
      </c>
      <c r="B117" s="47" t="s">
        <v>305</v>
      </c>
      <c r="C117" s="47" t="s">
        <v>291</v>
      </c>
      <c r="D117" s="55">
        <v>9900000000</v>
      </c>
      <c r="E117" s="43"/>
      <c r="F117" s="53">
        <f t="shared" si="12"/>
        <v>305784.54999999993</v>
      </c>
      <c r="G117" s="53">
        <f t="shared" si="12"/>
        <v>847554.33</v>
      </c>
      <c r="H117" s="53">
        <f t="shared" si="12"/>
        <v>847554.33</v>
      </c>
    </row>
    <row r="118" spans="1:8" ht="30" x14ac:dyDescent="0.2">
      <c r="A118" s="26" t="s">
        <v>296</v>
      </c>
      <c r="B118" s="49" t="s">
        <v>305</v>
      </c>
      <c r="C118" s="49" t="s">
        <v>291</v>
      </c>
      <c r="D118" s="54" t="s">
        <v>297</v>
      </c>
      <c r="E118" s="40"/>
      <c r="F118" s="51">
        <f t="shared" si="12"/>
        <v>305784.54999999993</v>
      </c>
      <c r="G118" s="51">
        <f t="shared" si="12"/>
        <v>847554.33</v>
      </c>
      <c r="H118" s="51">
        <f t="shared" si="12"/>
        <v>847554.33</v>
      </c>
    </row>
    <row r="119" spans="1:8" ht="30" x14ac:dyDescent="0.2">
      <c r="A119" s="26" t="s">
        <v>306</v>
      </c>
      <c r="B119" s="49" t="s">
        <v>305</v>
      </c>
      <c r="C119" s="49" t="s">
        <v>291</v>
      </c>
      <c r="D119" s="54" t="s">
        <v>307</v>
      </c>
      <c r="E119" s="40"/>
      <c r="F119" s="51">
        <f t="shared" si="12"/>
        <v>305784.54999999993</v>
      </c>
      <c r="G119" s="51">
        <f t="shared" si="12"/>
        <v>847554.33</v>
      </c>
      <c r="H119" s="51">
        <f t="shared" si="12"/>
        <v>847554.33</v>
      </c>
    </row>
    <row r="120" spans="1:8" ht="75" x14ac:dyDescent="0.2">
      <c r="A120" s="26" t="s">
        <v>193</v>
      </c>
      <c r="B120" s="49" t="s">
        <v>305</v>
      </c>
      <c r="C120" s="49" t="s">
        <v>291</v>
      </c>
      <c r="D120" s="54" t="s">
        <v>307</v>
      </c>
      <c r="E120" s="40">
        <v>100</v>
      </c>
      <c r="F120" s="51">
        <f>847554.33-545280.15+3510.37</f>
        <v>305784.54999999993</v>
      </c>
      <c r="G120" s="51">
        <v>847554.33</v>
      </c>
      <c r="H120" s="51">
        <v>847554.33</v>
      </c>
    </row>
    <row r="121" spans="1:8" ht="15.75" x14ac:dyDescent="0.25">
      <c r="A121" s="30" t="s">
        <v>333</v>
      </c>
      <c r="B121" s="47" t="s">
        <v>305</v>
      </c>
      <c r="C121" s="47" t="s">
        <v>334</v>
      </c>
      <c r="D121" s="55"/>
      <c r="E121" s="43"/>
      <c r="F121" s="53">
        <f>F122</f>
        <v>23822886.210000001</v>
      </c>
      <c r="G121" s="53">
        <f t="shared" ref="F121:H124" si="13">G122</f>
        <v>4968388.32</v>
      </c>
      <c r="H121" s="53">
        <f t="shared" si="13"/>
        <v>4968388.32</v>
      </c>
    </row>
    <row r="122" spans="1:8" ht="15.75" x14ac:dyDescent="0.25">
      <c r="A122" s="30" t="s">
        <v>294</v>
      </c>
      <c r="B122" s="47" t="s">
        <v>305</v>
      </c>
      <c r="C122" s="47" t="s">
        <v>334</v>
      </c>
      <c r="D122" s="55">
        <v>9900000000</v>
      </c>
      <c r="E122" s="43"/>
      <c r="F122" s="53">
        <f>F123+F126</f>
        <v>23822886.210000001</v>
      </c>
      <c r="G122" s="53">
        <f>G123+G126</f>
        <v>4968388.32</v>
      </c>
      <c r="H122" s="53">
        <f>H123+H126</f>
        <v>4968388.32</v>
      </c>
    </row>
    <row r="123" spans="1:8" ht="30" x14ac:dyDescent="0.2">
      <c r="A123" s="26" t="s">
        <v>296</v>
      </c>
      <c r="B123" s="49" t="s">
        <v>305</v>
      </c>
      <c r="C123" s="49" t="s">
        <v>334</v>
      </c>
      <c r="D123" s="54" t="s">
        <v>297</v>
      </c>
      <c r="E123" s="40"/>
      <c r="F123" s="51">
        <f t="shared" si="13"/>
        <v>5343610.99</v>
      </c>
      <c r="G123" s="51">
        <f t="shared" si="13"/>
        <v>4968388.32</v>
      </c>
      <c r="H123" s="51">
        <f t="shared" si="13"/>
        <v>4968388.32</v>
      </c>
    </row>
    <row r="124" spans="1:8" ht="30" x14ac:dyDescent="0.2">
      <c r="A124" s="26" t="s">
        <v>320</v>
      </c>
      <c r="B124" s="49" t="s">
        <v>305</v>
      </c>
      <c r="C124" s="49" t="s">
        <v>334</v>
      </c>
      <c r="D124" s="54" t="s">
        <v>335</v>
      </c>
      <c r="E124" s="40"/>
      <c r="F124" s="51">
        <f t="shared" si="13"/>
        <v>5343610.99</v>
      </c>
      <c r="G124" s="51">
        <f t="shared" si="13"/>
        <v>4968388.32</v>
      </c>
      <c r="H124" s="51">
        <f t="shared" si="13"/>
        <v>4968388.32</v>
      </c>
    </row>
    <row r="125" spans="1:8" ht="75" x14ac:dyDescent="0.2">
      <c r="A125" s="26" t="s">
        <v>193</v>
      </c>
      <c r="B125" s="49" t="s">
        <v>305</v>
      </c>
      <c r="C125" s="49" t="s">
        <v>334</v>
      </c>
      <c r="D125" s="54" t="s">
        <v>335</v>
      </c>
      <c r="E125" s="40">
        <v>100</v>
      </c>
      <c r="F125" s="51">
        <f>4968388.32+375222.67</f>
        <v>5343610.99</v>
      </c>
      <c r="G125" s="51">
        <v>4968388.32</v>
      </c>
      <c r="H125" s="51">
        <v>4968388.32</v>
      </c>
    </row>
    <row r="126" spans="1:8" x14ac:dyDescent="0.2">
      <c r="A126" s="26" t="s">
        <v>314</v>
      </c>
      <c r="B126" s="49" t="s">
        <v>305</v>
      </c>
      <c r="C126" s="49" t="s">
        <v>334</v>
      </c>
      <c r="D126" s="54" t="s">
        <v>315</v>
      </c>
      <c r="E126" s="40"/>
      <c r="F126" s="51">
        <f t="shared" ref="F126:H126" si="14">F127</f>
        <v>18479275.219999999</v>
      </c>
      <c r="G126" s="51">
        <f t="shared" si="14"/>
        <v>0</v>
      </c>
      <c r="H126" s="51">
        <f t="shared" si="14"/>
        <v>0</v>
      </c>
    </row>
    <row r="127" spans="1:8" ht="30" x14ac:dyDescent="0.2">
      <c r="A127" s="26" t="s">
        <v>324</v>
      </c>
      <c r="B127" s="49" t="s">
        <v>305</v>
      </c>
      <c r="C127" s="49" t="s">
        <v>334</v>
      </c>
      <c r="D127" s="54" t="s">
        <v>325</v>
      </c>
      <c r="E127" s="40"/>
      <c r="F127" s="51">
        <f>F129+F128</f>
        <v>18479275.219999999</v>
      </c>
      <c r="G127" s="51">
        <f>G129</f>
        <v>0</v>
      </c>
      <c r="H127" s="51">
        <f>H129</f>
        <v>0</v>
      </c>
    </row>
    <row r="128" spans="1:8" ht="30" x14ac:dyDescent="0.2">
      <c r="A128" s="26" t="s">
        <v>195</v>
      </c>
      <c r="B128" s="49" t="s">
        <v>305</v>
      </c>
      <c r="C128" s="49" t="s">
        <v>334</v>
      </c>
      <c r="D128" s="54" t="s">
        <v>325</v>
      </c>
      <c r="E128" s="40">
        <v>300</v>
      </c>
      <c r="F128" s="51">
        <v>460000</v>
      </c>
      <c r="G128" s="51">
        <v>0</v>
      </c>
      <c r="H128" s="51">
        <v>0</v>
      </c>
    </row>
    <row r="129" spans="1:32" x14ac:dyDescent="0.2">
      <c r="A129" s="25" t="s">
        <v>196</v>
      </c>
      <c r="B129" s="49" t="s">
        <v>305</v>
      </c>
      <c r="C129" s="49" t="s">
        <v>334</v>
      </c>
      <c r="D129" s="54" t="s">
        <v>325</v>
      </c>
      <c r="E129" s="40">
        <v>800</v>
      </c>
      <c r="F129" s="51">
        <f>4800731.99+8450000+4768543.23</f>
        <v>18019275.219999999</v>
      </c>
      <c r="G129" s="51">
        <v>0</v>
      </c>
      <c r="H129" s="51">
        <v>0</v>
      </c>
    </row>
    <row r="130" spans="1:32" ht="15.75" x14ac:dyDescent="0.25">
      <c r="A130" s="30" t="s">
        <v>336</v>
      </c>
      <c r="B130" s="47" t="s">
        <v>305</v>
      </c>
      <c r="C130" s="47" t="s">
        <v>328</v>
      </c>
      <c r="D130" s="55"/>
      <c r="E130" s="43"/>
      <c r="F130" s="53">
        <f>F131</f>
        <v>14000000</v>
      </c>
      <c r="G130" s="53">
        <f t="shared" ref="G130:H133" si="15">G131</f>
        <v>0</v>
      </c>
      <c r="H130" s="53">
        <f t="shared" si="15"/>
        <v>0</v>
      </c>
    </row>
    <row r="131" spans="1:32" ht="15.75" x14ac:dyDescent="0.25">
      <c r="A131" s="30" t="s">
        <v>294</v>
      </c>
      <c r="B131" s="47" t="s">
        <v>305</v>
      </c>
      <c r="C131" s="47" t="s">
        <v>328</v>
      </c>
      <c r="D131" s="55" t="s">
        <v>295</v>
      </c>
      <c r="E131" s="43"/>
      <c r="F131" s="53">
        <f>F132</f>
        <v>14000000</v>
      </c>
      <c r="G131" s="53">
        <f t="shared" si="15"/>
        <v>0</v>
      </c>
      <c r="H131" s="53">
        <f t="shared" si="15"/>
        <v>0</v>
      </c>
    </row>
    <row r="132" spans="1:32" x14ac:dyDescent="0.2">
      <c r="A132" s="26" t="s">
        <v>314</v>
      </c>
      <c r="B132" s="49" t="s">
        <v>305</v>
      </c>
      <c r="C132" s="49" t="s">
        <v>328</v>
      </c>
      <c r="D132" s="54" t="s">
        <v>315</v>
      </c>
      <c r="E132" s="40"/>
      <c r="F132" s="51">
        <f>F133</f>
        <v>14000000</v>
      </c>
      <c r="G132" s="51">
        <f t="shared" si="15"/>
        <v>0</v>
      </c>
      <c r="H132" s="51">
        <f t="shared" si="15"/>
        <v>0</v>
      </c>
    </row>
    <row r="133" spans="1:32" ht="30" x14ac:dyDescent="0.2">
      <c r="A133" s="26" t="s">
        <v>324</v>
      </c>
      <c r="B133" s="49" t="s">
        <v>305</v>
      </c>
      <c r="C133" s="49" t="s">
        <v>328</v>
      </c>
      <c r="D133" s="54" t="s">
        <v>325</v>
      </c>
      <c r="E133" s="40"/>
      <c r="F133" s="51">
        <f>F134</f>
        <v>14000000</v>
      </c>
      <c r="G133" s="51">
        <f t="shared" si="15"/>
        <v>0</v>
      </c>
      <c r="H133" s="51">
        <f t="shared" si="15"/>
        <v>0</v>
      </c>
    </row>
    <row r="134" spans="1:32" ht="30" x14ac:dyDescent="0.2">
      <c r="A134" s="26" t="s">
        <v>194</v>
      </c>
      <c r="B134" s="49" t="s">
        <v>305</v>
      </c>
      <c r="C134" s="49" t="s">
        <v>328</v>
      </c>
      <c r="D134" s="54" t="s">
        <v>325</v>
      </c>
      <c r="E134" s="40">
        <v>200</v>
      </c>
      <c r="F134" s="51">
        <v>14000000</v>
      </c>
      <c r="G134" s="51">
        <v>0</v>
      </c>
      <c r="H134" s="51">
        <v>0</v>
      </c>
    </row>
    <row r="135" spans="1:32" s="45" customFormat="1" ht="15.75" x14ac:dyDescent="0.25">
      <c r="A135" s="30" t="s">
        <v>337</v>
      </c>
      <c r="B135" s="47" t="s">
        <v>334</v>
      </c>
      <c r="C135" s="47"/>
      <c r="D135" s="55"/>
      <c r="E135" s="43"/>
      <c r="F135" s="53">
        <f>F142+F136</f>
        <v>9810436.8000000007</v>
      </c>
      <c r="G135" s="53">
        <f>G142+G136</f>
        <v>0</v>
      </c>
      <c r="H135" s="53">
        <f>H142+H136</f>
        <v>0</v>
      </c>
      <c r="I135" s="110"/>
      <c r="J135" s="141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</row>
    <row r="136" spans="1:32" s="45" customFormat="1" ht="15.75" hidden="1" x14ac:dyDescent="0.25">
      <c r="A136" s="30" t="s">
        <v>338</v>
      </c>
      <c r="B136" s="47" t="s">
        <v>334</v>
      </c>
      <c r="C136" s="47" t="s">
        <v>291</v>
      </c>
      <c r="D136" s="55"/>
      <c r="E136" s="43"/>
      <c r="F136" s="53">
        <f>F137</f>
        <v>0</v>
      </c>
      <c r="G136" s="53">
        <f t="shared" ref="G136:H138" si="16">G137</f>
        <v>0</v>
      </c>
      <c r="H136" s="53">
        <f t="shared" si="16"/>
        <v>0</v>
      </c>
      <c r="I136" s="110"/>
      <c r="J136" s="141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3"/>
      <c r="V136" s="143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</row>
    <row r="137" spans="1:32" s="45" customFormat="1" ht="15.75" hidden="1" x14ac:dyDescent="0.25">
      <c r="A137" s="30" t="s">
        <v>294</v>
      </c>
      <c r="B137" s="47" t="s">
        <v>334</v>
      </c>
      <c r="C137" s="47" t="s">
        <v>291</v>
      </c>
      <c r="D137" s="55" t="s">
        <v>295</v>
      </c>
      <c r="E137" s="43"/>
      <c r="F137" s="53">
        <f>F138</f>
        <v>0</v>
      </c>
      <c r="G137" s="53">
        <f t="shared" si="16"/>
        <v>0</v>
      </c>
      <c r="H137" s="53">
        <f t="shared" si="16"/>
        <v>0</v>
      </c>
      <c r="I137" s="110"/>
      <c r="J137" s="141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3"/>
      <c r="V137" s="143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</row>
    <row r="138" spans="1:32" s="45" customFormat="1" ht="15.75" hidden="1" x14ac:dyDescent="0.25">
      <c r="A138" s="26" t="s">
        <v>314</v>
      </c>
      <c r="B138" s="49" t="s">
        <v>334</v>
      </c>
      <c r="C138" s="49" t="s">
        <v>291</v>
      </c>
      <c r="D138" s="54" t="s">
        <v>315</v>
      </c>
      <c r="E138" s="40"/>
      <c r="F138" s="51">
        <f>F139</f>
        <v>0</v>
      </c>
      <c r="G138" s="51">
        <f t="shared" si="16"/>
        <v>0</v>
      </c>
      <c r="H138" s="51">
        <f t="shared" si="16"/>
        <v>0</v>
      </c>
      <c r="I138" s="110"/>
      <c r="J138" s="141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3"/>
      <c r="V138" s="143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</row>
    <row r="139" spans="1:32" s="45" customFormat="1" ht="30.75" hidden="1" x14ac:dyDescent="0.25">
      <c r="A139" s="26" t="s">
        <v>339</v>
      </c>
      <c r="B139" s="49" t="s">
        <v>334</v>
      </c>
      <c r="C139" s="49" t="s">
        <v>291</v>
      </c>
      <c r="D139" s="54" t="s">
        <v>340</v>
      </c>
      <c r="E139" s="40"/>
      <c r="F139" s="51">
        <f>F140+F141</f>
        <v>0</v>
      </c>
      <c r="G139" s="51">
        <f>G140+G141</f>
        <v>0</v>
      </c>
      <c r="H139" s="51">
        <f>H140+H141</f>
        <v>0</v>
      </c>
      <c r="I139" s="110"/>
      <c r="J139" s="141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3"/>
      <c r="V139" s="143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</row>
    <row r="140" spans="1:32" s="45" customFormat="1" ht="30.75" hidden="1" x14ac:dyDescent="0.25">
      <c r="A140" s="26" t="s">
        <v>194</v>
      </c>
      <c r="B140" s="49" t="s">
        <v>334</v>
      </c>
      <c r="C140" s="49" t="s">
        <v>291</v>
      </c>
      <c r="D140" s="54" t="s">
        <v>340</v>
      </c>
      <c r="E140" s="40">
        <v>200</v>
      </c>
      <c r="F140" s="51">
        <f>18218243-1821800-16396443</f>
        <v>0</v>
      </c>
      <c r="G140" s="51">
        <v>0</v>
      </c>
      <c r="H140" s="51">
        <v>0</v>
      </c>
      <c r="I140" s="110"/>
      <c r="J140" s="141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3"/>
      <c r="V140" s="143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</row>
    <row r="141" spans="1:32" s="45" customFormat="1" ht="45.75" hidden="1" x14ac:dyDescent="0.25">
      <c r="A141" s="25" t="s">
        <v>201</v>
      </c>
      <c r="B141" s="49" t="s">
        <v>334</v>
      </c>
      <c r="C141" s="49" t="s">
        <v>291</v>
      </c>
      <c r="D141" s="54" t="s">
        <v>340</v>
      </c>
      <c r="E141" s="40">
        <v>600</v>
      </c>
      <c r="F141" s="51">
        <v>0</v>
      </c>
      <c r="G141" s="51">
        <v>0</v>
      </c>
      <c r="H141" s="51">
        <v>0</v>
      </c>
      <c r="I141" s="110"/>
      <c r="J141" s="141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3"/>
      <c r="V141" s="143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</row>
    <row r="142" spans="1:32" s="45" customFormat="1" ht="15.75" x14ac:dyDescent="0.25">
      <c r="A142" s="30" t="s">
        <v>341</v>
      </c>
      <c r="B142" s="47" t="s">
        <v>334</v>
      </c>
      <c r="C142" s="47" t="s">
        <v>301</v>
      </c>
      <c r="D142" s="55"/>
      <c r="E142" s="43"/>
      <c r="F142" s="53">
        <f>F143</f>
        <v>9810436.8000000007</v>
      </c>
      <c r="G142" s="53">
        <f t="shared" ref="G142:H145" si="17">G143</f>
        <v>0</v>
      </c>
      <c r="H142" s="53">
        <f t="shared" si="17"/>
        <v>0</v>
      </c>
      <c r="I142" s="110"/>
      <c r="J142" s="141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3"/>
      <c r="V142" s="143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</row>
    <row r="143" spans="1:32" s="45" customFormat="1" ht="15.75" x14ac:dyDescent="0.25">
      <c r="A143" s="30" t="s">
        <v>294</v>
      </c>
      <c r="B143" s="47" t="s">
        <v>334</v>
      </c>
      <c r="C143" s="47" t="s">
        <v>301</v>
      </c>
      <c r="D143" s="55" t="s">
        <v>295</v>
      </c>
      <c r="E143" s="43"/>
      <c r="F143" s="53">
        <f>F144</f>
        <v>9810436.8000000007</v>
      </c>
      <c r="G143" s="53">
        <f t="shared" si="17"/>
        <v>0</v>
      </c>
      <c r="H143" s="53">
        <f t="shared" si="17"/>
        <v>0</v>
      </c>
      <c r="I143" s="110"/>
      <c r="J143" s="141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3"/>
      <c r="V143" s="143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</row>
    <row r="144" spans="1:32" x14ac:dyDescent="0.2">
      <c r="A144" s="26" t="s">
        <v>314</v>
      </c>
      <c r="B144" s="49" t="s">
        <v>334</v>
      </c>
      <c r="C144" s="49" t="s">
        <v>301</v>
      </c>
      <c r="D144" s="54" t="s">
        <v>315</v>
      </c>
      <c r="E144" s="40"/>
      <c r="F144" s="51">
        <f>F145</f>
        <v>9810436.8000000007</v>
      </c>
      <c r="G144" s="51">
        <f t="shared" si="17"/>
        <v>0</v>
      </c>
      <c r="H144" s="51">
        <f t="shared" si="17"/>
        <v>0</v>
      </c>
    </row>
    <row r="145" spans="1:32" x14ac:dyDescent="0.2">
      <c r="A145" s="26" t="s">
        <v>342</v>
      </c>
      <c r="B145" s="49" t="s">
        <v>334</v>
      </c>
      <c r="C145" s="49" t="s">
        <v>301</v>
      </c>
      <c r="D145" s="54" t="s">
        <v>343</v>
      </c>
      <c r="E145" s="40"/>
      <c r="F145" s="51">
        <f>F146</f>
        <v>9810436.8000000007</v>
      </c>
      <c r="G145" s="51">
        <f t="shared" si="17"/>
        <v>0</v>
      </c>
      <c r="H145" s="51">
        <f t="shared" si="17"/>
        <v>0</v>
      </c>
    </row>
    <row r="146" spans="1:32" ht="30" x14ac:dyDescent="0.2">
      <c r="A146" s="26" t="s">
        <v>214</v>
      </c>
      <c r="B146" s="49" t="s">
        <v>334</v>
      </c>
      <c r="C146" s="49" t="s">
        <v>301</v>
      </c>
      <c r="D146" s="54" t="s">
        <v>343</v>
      </c>
      <c r="E146" s="40">
        <v>400</v>
      </c>
      <c r="F146" s="51">
        <v>9810436.8000000007</v>
      </c>
      <c r="G146" s="51">
        <v>0</v>
      </c>
      <c r="H146" s="51">
        <v>0</v>
      </c>
    </row>
    <row r="147" spans="1:32" s="45" customFormat="1" ht="15.75" x14ac:dyDescent="0.25">
      <c r="A147" s="28" t="s">
        <v>344</v>
      </c>
      <c r="B147" s="47" t="s">
        <v>345</v>
      </c>
      <c r="C147" s="47"/>
      <c r="D147" s="55"/>
      <c r="E147" s="43"/>
      <c r="F147" s="53">
        <f>F154+F148+F166+F161</f>
        <v>70216214.089999989</v>
      </c>
      <c r="G147" s="53">
        <f>G154+G148+G166</f>
        <v>0</v>
      </c>
      <c r="H147" s="53">
        <f>H154+H148+H166</f>
        <v>0</v>
      </c>
      <c r="I147" s="110"/>
      <c r="J147" s="141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3"/>
      <c r="V147" s="143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</row>
    <row r="148" spans="1:32" s="45" customFormat="1" ht="15.75" x14ac:dyDescent="0.25">
      <c r="A148" s="28" t="s">
        <v>346</v>
      </c>
      <c r="B148" s="47" t="s">
        <v>345</v>
      </c>
      <c r="C148" s="47" t="s">
        <v>291</v>
      </c>
      <c r="D148" s="55"/>
      <c r="E148" s="43"/>
      <c r="F148" s="53">
        <f>F149</f>
        <v>11955164</v>
      </c>
      <c r="G148" s="53">
        <f t="shared" ref="G148:H150" si="18">G149</f>
        <v>0</v>
      </c>
      <c r="H148" s="53">
        <f t="shared" si="18"/>
        <v>0</v>
      </c>
      <c r="I148" s="110"/>
      <c r="J148" s="141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3"/>
      <c r="V148" s="143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</row>
    <row r="149" spans="1:32" s="45" customFormat="1" ht="15.75" x14ac:dyDescent="0.25">
      <c r="A149" s="30" t="s">
        <v>294</v>
      </c>
      <c r="B149" s="47" t="s">
        <v>345</v>
      </c>
      <c r="C149" s="47" t="s">
        <v>291</v>
      </c>
      <c r="D149" s="55" t="s">
        <v>295</v>
      </c>
      <c r="E149" s="43"/>
      <c r="F149" s="53">
        <f>F150</f>
        <v>11955164</v>
      </c>
      <c r="G149" s="53">
        <f t="shared" si="18"/>
        <v>0</v>
      </c>
      <c r="H149" s="53">
        <f t="shared" si="18"/>
        <v>0</v>
      </c>
      <c r="I149" s="110"/>
      <c r="J149" s="141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3"/>
      <c r="V149" s="143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</row>
    <row r="150" spans="1:32" s="45" customFormat="1" ht="15.75" x14ac:dyDescent="0.25">
      <c r="A150" s="26" t="s">
        <v>314</v>
      </c>
      <c r="B150" s="49" t="s">
        <v>345</v>
      </c>
      <c r="C150" s="49" t="s">
        <v>291</v>
      </c>
      <c r="D150" s="54" t="s">
        <v>315</v>
      </c>
      <c r="E150" s="40"/>
      <c r="F150" s="51">
        <f>F151</f>
        <v>11955164</v>
      </c>
      <c r="G150" s="51">
        <f t="shared" si="18"/>
        <v>0</v>
      </c>
      <c r="H150" s="51">
        <f t="shared" si="18"/>
        <v>0</v>
      </c>
      <c r="I150" s="110"/>
      <c r="J150" s="141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3"/>
      <c r="V150" s="143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</row>
    <row r="151" spans="1:32" s="45" customFormat="1" ht="30.75" x14ac:dyDescent="0.25">
      <c r="A151" s="26" t="s">
        <v>324</v>
      </c>
      <c r="B151" s="49" t="s">
        <v>345</v>
      </c>
      <c r="C151" s="49" t="s">
        <v>291</v>
      </c>
      <c r="D151" s="54" t="s">
        <v>325</v>
      </c>
      <c r="E151" s="40"/>
      <c r="F151" s="51">
        <f>F153+F152</f>
        <v>11955164</v>
      </c>
      <c r="G151" s="51">
        <f t="shared" ref="G151:H151" si="19">G153+G152</f>
        <v>0</v>
      </c>
      <c r="H151" s="51">
        <f t="shared" si="19"/>
        <v>0</v>
      </c>
      <c r="I151" s="110"/>
      <c r="J151" s="141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3"/>
      <c r="V151" s="143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</row>
    <row r="152" spans="1:32" s="45" customFormat="1" ht="30.75" x14ac:dyDescent="0.25">
      <c r="A152" s="26" t="s">
        <v>194</v>
      </c>
      <c r="B152" s="49" t="s">
        <v>345</v>
      </c>
      <c r="C152" s="49" t="s">
        <v>291</v>
      </c>
      <c r="D152" s="54" t="s">
        <v>325</v>
      </c>
      <c r="E152" s="40">
        <v>200</v>
      </c>
      <c r="F152" s="51">
        <f>1735272+2036838</f>
        <v>3772110</v>
      </c>
      <c r="G152" s="51">
        <v>0</v>
      </c>
      <c r="H152" s="51">
        <v>0</v>
      </c>
      <c r="I152" s="110"/>
      <c r="J152" s="141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3"/>
      <c r="V152" s="143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</row>
    <row r="153" spans="1:32" s="45" customFormat="1" ht="15.75" x14ac:dyDescent="0.25">
      <c r="A153" s="26" t="s">
        <v>196</v>
      </c>
      <c r="B153" s="49" t="s">
        <v>345</v>
      </c>
      <c r="C153" s="49" t="s">
        <v>291</v>
      </c>
      <c r="D153" s="54" t="s">
        <v>325</v>
      </c>
      <c r="E153" s="40">
        <v>800</v>
      </c>
      <c r="F153" s="51">
        <f>8917739-734685</f>
        <v>8183054</v>
      </c>
      <c r="G153" s="51">
        <v>0</v>
      </c>
      <c r="H153" s="51">
        <v>0</v>
      </c>
      <c r="I153" s="110"/>
      <c r="J153" s="141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3"/>
      <c r="V153" s="143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</row>
    <row r="154" spans="1:32" s="45" customFormat="1" ht="15.75" x14ac:dyDescent="0.25">
      <c r="A154" s="28" t="s">
        <v>347</v>
      </c>
      <c r="B154" s="47" t="s">
        <v>345</v>
      </c>
      <c r="C154" s="47" t="s">
        <v>293</v>
      </c>
      <c r="D154" s="55"/>
      <c r="E154" s="43"/>
      <c r="F154" s="53">
        <f>F155</f>
        <v>58071912.229999982</v>
      </c>
      <c r="G154" s="53">
        <f t="shared" ref="G154:H156" si="20">G155</f>
        <v>0</v>
      </c>
      <c r="H154" s="53">
        <f t="shared" si="20"/>
        <v>0</v>
      </c>
      <c r="I154" s="110"/>
      <c r="J154" s="141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3"/>
      <c r="V154" s="143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</row>
    <row r="155" spans="1:32" s="45" customFormat="1" ht="15.75" x14ac:dyDescent="0.25">
      <c r="A155" s="30" t="s">
        <v>294</v>
      </c>
      <c r="B155" s="47" t="s">
        <v>345</v>
      </c>
      <c r="C155" s="47" t="s">
        <v>293</v>
      </c>
      <c r="D155" s="55" t="s">
        <v>295</v>
      </c>
      <c r="E155" s="43"/>
      <c r="F155" s="53">
        <f>F156</f>
        <v>58071912.229999982</v>
      </c>
      <c r="G155" s="53">
        <f t="shared" si="20"/>
        <v>0</v>
      </c>
      <c r="H155" s="53">
        <f t="shared" si="20"/>
        <v>0</v>
      </c>
      <c r="I155" s="110"/>
      <c r="J155" s="141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3"/>
      <c r="V155" s="143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</row>
    <row r="156" spans="1:32" x14ac:dyDescent="0.2">
      <c r="A156" s="26" t="s">
        <v>314</v>
      </c>
      <c r="B156" s="49" t="s">
        <v>345</v>
      </c>
      <c r="C156" s="49" t="s">
        <v>293</v>
      </c>
      <c r="D156" s="54" t="s">
        <v>315</v>
      </c>
      <c r="E156" s="40"/>
      <c r="F156" s="51">
        <f>F157</f>
        <v>58071912.229999982</v>
      </c>
      <c r="G156" s="51">
        <f t="shared" si="20"/>
        <v>0</v>
      </c>
      <c r="H156" s="51">
        <f t="shared" si="20"/>
        <v>0</v>
      </c>
    </row>
    <row r="157" spans="1:32" ht="30" x14ac:dyDescent="0.2">
      <c r="A157" s="26" t="s">
        <v>324</v>
      </c>
      <c r="B157" s="49" t="s">
        <v>345</v>
      </c>
      <c r="C157" s="49" t="s">
        <v>293</v>
      </c>
      <c r="D157" s="54" t="s">
        <v>325</v>
      </c>
      <c r="E157" s="40"/>
      <c r="F157" s="51">
        <f>SUM(F158:F160)</f>
        <v>58071912.229999982</v>
      </c>
      <c r="G157" s="51">
        <f>SUM(G158:G160)</f>
        <v>0</v>
      </c>
      <c r="H157" s="51">
        <f>SUM(H158:H160)</f>
        <v>0</v>
      </c>
    </row>
    <row r="158" spans="1:32" ht="30" x14ac:dyDescent="0.2">
      <c r="A158" s="26" t="s">
        <v>194</v>
      </c>
      <c r="B158" s="49" t="s">
        <v>345</v>
      </c>
      <c r="C158" s="49" t="s">
        <v>293</v>
      </c>
      <c r="D158" s="54" t="s">
        <v>325</v>
      </c>
      <c r="E158" s="40">
        <v>200</v>
      </c>
      <c r="F158" s="51">
        <f>825493.2+680610+416025.6+943222.8+433294.8+2845783.2+189972.28-1506103.2+2947916.4</f>
        <v>7776215.0800000001</v>
      </c>
      <c r="G158" s="51">
        <v>0</v>
      </c>
      <c r="H158" s="51">
        <v>0</v>
      </c>
    </row>
    <row r="159" spans="1:32" ht="30" hidden="1" x14ac:dyDescent="0.2">
      <c r="A159" s="26" t="s">
        <v>261</v>
      </c>
      <c r="B159" s="49" t="s">
        <v>345</v>
      </c>
      <c r="C159" s="49" t="s">
        <v>293</v>
      </c>
      <c r="D159" s="54" t="s">
        <v>325</v>
      </c>
      <c r="E159" s="40">
        <v>400</v>
      </c>
      <c r="F159" s="51">
        <v>0</v>
      </c>
      <c r="G159" s="51">
        <v>0</v>
      </c>
      <c r="H159" s="51">
        <v>0</v>
      </c>
    </row>
    <row r="160" spans="1:32" ht="45" x14ac:dyDescent="0.2">
      <c r="A160" s="25" t="s">
        <v>201</v>
      </c>
      <c r="B160" s="49" t="s">
        <v>345</v>
      </c>
      <c r="C160" s="49" t="s">
        <v>293</v>
      </c>
      <c r="D160" s="54" t="s">
        <v>325</v>
      </c>
      <c r="E160" s="40">
        <v>600</v>
      </c>
      <c r="F160" s="51">
        <f>24344016+2341273.2+447306+517561+738904.8+1063270.8+6314829.6+2997580.8+358232.4+8357284.8+56700+376255.2+19693551.1-19693551.1+2006945.83+375536.72</f>
        <v>50295697.149999984</v>
      </c>
      <c r="G160" s="51">
        <v>0</v>
      </c>
      <c r="H160" s="51">
        <v>0</v>
      </c>
    </row>
    <row r="161" spans="1:8" ht="15.75" x14ac:dyDescent="0.25">
      <c r="A161" s="28" t="s">
        <v>348</v>
      </c>
      <c r="B161" s="47" t="s">
        <v>345</v>
      </c>
      <c r="C161" s="47" t="s">
        <v>301</v>
      </c>
      <c r="D161" s="55"/>
      <c r="E161" s="43"/>
      <c r="F161" s="53">
        <f>F162</f>
        <v>189137.86</v>
      </c>
      <c r="G161" s="53">
        <f t="shared" ref="G161:H164" si="21">G162</f>
        <v>0</v>
      </c>
      <c r="H161" s="53">
        <f t="shared" si="21"/>
        <v>0</v>
      </c>
    </row>
    <row r="162" spans="1:8" ht="15.75" x14ac:dyDescent="0.25">
      <c r="A162" s="30" t="s">
        <v>294</v>
      </c>
      <c r="B162" s="47" t="s">
        <v>345</v>
      </c>
      <c r="C162" s="47" t="s">
        <v>301</v>
      </c>
      <c r="D162" s="55" t="s">
        <v>295</v>
      </c>
      <c r="E162" s="43"/>
      <c r="F162" s="53">
        <f>F163</f>
        <v>189137.86</v>
      </c>
      <c r="G162" s="53">
        <f t="shared" si="21"/>
        <v>0</v>
      </c>
      <c r="H162" s="53">
        <f t="shared" si="21"/>
        <v>0</v>
      </c>
    </row>
    <row r="163" spans="1:8" x14ac:dyDescent="0.2">
      <c r="A163" s="26" t="s">
        <v>314</v>
      </c>
      <c r="B163" s="49" t="s">
        <v>345</v>
      </c>
      <c r="C163" s="49" t="s">
        <v>301</v>
      </c>
      <c r="D163" s="54" t="s">
        <v>315</v>
      </c>
      <c r="E163" s="40"/>
      <c r="F163" s="51">
        <f>F164</f>
        <v>189137.86</v>
      </c>
      <c r="G163" s="51">
        <f t="shared" si="21"/>
        <v>0</v>
      </c>
      <c r="H163" s="51">
        <f t="shared" si="21"/>
        <v>0</v>
      </c>
    </row>
    <row r="164" spans="1:8" ht="30" x14ac:dyDescent="0.2">
      <c r="A164" s="26" t="s">
        <v>324</v>
      </c>
      <c r="B164" s="49" t="s">
        <v>345</v>
      </c>
      <c r="C164" s="49" t="s">
        <v>301</v>
      </c>
      <c r="D164" s="54" t="s">
        <v>325</v>
      </c>
      <c r="E164" s="40"/>
      <c r="F164" s="51">
        <f>F165</f>
        <v>189137.86</v>
      </c>
      <c r="G164" s="51">
        <f t="shared" si="21"/>
        <v>0</v>
      </c>
      <c r="H164" s="51">
        <f t="shared" si="21"/>
        <v>0</v>
      </c>
    </row>
    <row r="165" spans="1:8" ht="30" x14ac:dyDescent="0.2">
      <c r="A165" s="26" t="s">
        <v>194</v>
      </c>
      <c r="B165" s="49" t="s">
        <v>345</v>
      </c>
      <c r="C165" s="49" t="s">
        <v>301</v>
      </c>
      <c r="D165" s="54" t="s">
        <v>325</v>
      </c>
      <c r="E165" s="40">
        <v>200</v>
      </c>
      <c r="F165" s="51">
        <f>149137.86+40000</f>
        <v>189137.86</v>
      </c>
      <c r="G165" s="51">
        <v>0</v>
      </c>
      <c r="H165" s="51">
        <v>0</v>
      </c>
    </row>
    <row r="166" spans="1:8" ht="15.75" hidden="1" x14ac:dyDescent="0.25">
      <c r="A166" s="28" t="s">
        <v>349</v>
      </c>
      <c r="B166" s="47" t="s">
        <v>345</v>
      </c>
      <c r="C166" s="47" t="s">
        <v>350</v>
      </c>
      <c r="D166" s="55"/>
      <c r="E166" s="43"/>
      <c r="F166" s="53">
        <f>F167</f>
        <v>0</v>
      </c>
      <c r="G166" s="53">
        <f t="shared" ref="G166:H169" si="22">G167</f>
        <v>0</v>
      </c>
      <c r="H166" s="53">
        <f t="shared" si="22"/>
        <v>0</v>
      </c>
    </row>
    <row r="167" spans="1:8" ht="15.75" hidden="1" x14ac:dyDescent="0.25">
      <c r="A167" s="30" t="s">
        <v>294</v>
      </c>
      <c r="B167" s="47" t="s">
        <v>345</v>
      </c>
      <c r="C167" s="47" t="s">
        <v>350</v>
      </c>
      <c r="D167" s="55" t="s">
        <v>295</v>
      </c>
      <c r="E167" s="43"/>
      <c r="F167" s="53">
        <f>F168</f>
        <v>0</v>
      </c>
      <c r="G167" s="53">
        <f t="shared" si="22"/>
        <v>0</v>
      </c>
      <c r="H167" s="53">
        <f t="shared" si="22"/>
        <v>0</v>
      </c>
    </row>
    <row r="168" spans="1:8" hidden="1" x14ac:dyDescent="0.2">
      <c r="A168" s="26" t="s">
        <v>314</v>
      </c>
      <c r="B168" s="49" t="s">
        <v>345</v>
      </c>
      <c r="C168" s="49" t="s">
        <v>350</v>
      </c>
      <c r="D168" s="54" t="s">
        <v>315</v>
      </c>
      <c r="E168" s="40"/>
      <c r="F168" s="51">
        <f>F169</f>
        <v>0</v>
      </c>
      <c r="G168" s="51">
        <f t="shared" si="22"/>
        <v>0</v>
      </c>
      <c r="H168" s="51">
        <f t="shared" si="22"/>
        <v>0</v>
      </c>
    </row>
    <row r="169" spans="1:8" ht="30" hidden="1" x14ac:dyDescent="0.2">
      <c r="A169" s="26" t="s">
        <v>324</v>
      </c>
      <c r="B169" s="49" t="s">
        <v>345</v>
      </c>
      <c r="C169" s="49" t="s">
        <v>350</v>
      </c>
      <c r="D169" s="54" t="s">
        <v>325</v>
      </c>
      <c r="E169" s="40"/>
      <c r="F169" s="51">
        <f>F170</f>
        <v>0</v>
      </c>
      <c r="G169" s="51">
        <f t="shared" si="22"/>
        <v>0</v>
      </c>
      <c r="H169" s="51">
        <f t="shared" si="22"/>
        <v>0</v>
      </c>
    </row>
    <row r="170" spans="1:8" ht="30" hidden="1" x14ac:dyDescent="0.2">
      <c r="A170" s="26" t="s">
        <v>194</v>
      </c>
      <c r="B170" s="49" t="s">
        <v>345</v>
      </c>
      <c r="C170" s="49" t="s">
        <v>350</v>
      </c>
      <c r="D170" s="54" t="s">
        <v>325</v>
      </c>
      <c r="E170" s="40">
        <v>200</v>
      </c>
      <c r="F170" s="51">
        <v>0</v>
      </c>
      <c r="G170" s="51">
        <v>0</v>
      </c>
      <c r="H170" s="51">
        <v>0</v>
      </c>
    </row>
    <row r="171" spans="1:8" ht="15.75" x14ac:dyDescent="0.25">
      <c r="A171" s="28" t="s">
        <v>351</v>
      </c>
      <c r="B171" s="47" t="s">
        <v>352</v>
      </c>
      <c r="C171" s="47"/>
      <c r="D171" s="54"/>
      <c r="E171" s="40"/>
      <c r="F171" s="53">
        <f>F172</f>
        <v>0</v>
      </c>
      <c r="G171" s="53">
        <f t="shared" ref="G171:H175" si="23">G172</f>
        <v>900000</v>
      </c>
      <c r="H171" s="53">
        <f t="shared" si="23"/>
        <v>900000</v>
      </c>
    </row>
    <row r="172" spans="1:8" ht="15.75" x14ac:dyDescent="0.25">
      <c r="A172" s="28" t="s">
        <v>353</v>
      </c>
      <c r="B172" s="47" t="s">
        <v>352</v>
      </c>
      <c r="C172" s="47" t="s">
        <v>291</v>
      </c>
      <c r="D172" s="54"/>
      <c r="E172" s="40"/>
      <c r="F172" s="53">
        <f>F173</f>
        <v>0</v>
      </c>
      <c r="G172" s="53">
        <f t="shared" si="23"/>
        <v>900000</v>
      </c>
      <c r="H172" s="53">
        <f t="shared" si="23"/>
        <v>900000</v>
      </c>
    </row>
    <row r="173" spans="1:8" ht="15.75" x14ac:dyDescent="0.25">
      <c r="A173" s="30" t="s">
        <v>294</v>
      </c>
      <c r="B173" s="47" t="s">
        <v>352</v>
      </c>
      <c r="C173" s="47" t="s">
        <v>291</v>
      </c>
      <c r="D173" s="55" t="s">
        <v>295</v>
      </c>
      <c r="E173" s="43"/>
      <c r="F173" s="53">
        <f>F174</f>
        <v>0</v>
      </c>
      <c r="G173" s="53">
        <f t="shared" si="23"/>
        <v>900000</v>
      </c>
      <c r="H173" s="53">
        <f t="shared" si="23"/>
        <v>900000</v>
      </c>
    </row>
    <row r="174" spans="1:8" x14ac:dyDescent="0.2">
      <c r="A174" s="26" t="s">
        <v>314</v>
      </c>
      <c r="B174" s="49" t="s">
        <v>352</v>
      </c>
      <c r="C174" s="49" t="s">
        <v>291</v>
      </c>
      <c r="D174" s="54" t="s">
        <v>315</v>
      </c>
      <c r="E174" s="40"/>
      <c r="F174" s="51">
        <f>F175</f>
        <v>0</v>
      </c>
      <c r="G174" s="51">
        <f t="shared" si="23"/>
        <v>900000</v>
      </c>
      <c r="H174" s="51">
        <f t="shared" si="23"/>
        <v>900000</v>
      </c>
    </row>
    <row r="175" spans="1:8" ht="30" x14ac:dyDescent="0.2">
      <c r="A175" s="26" t="s">
        <v>378</v>
      </c>
      <c r="B175" s="49" t="s">
        <v>352</v>
      </c>
      <c r="C175" s="49" t="s">
        <v>291</v>
      </c>
      <c r="D175" s="54" t="s">
        <v>377</v>
      </c>
      <c r="E175" s="40"/>
      <c r="F175" s="51">
        <f>F176</f>
        <v>0</v>
      </c>
      <c r="G175" s="51">
        <f t="shared" si="23"/>
        <v>900000</v>
      </c>
      <c r="H175" s="51">
        <f t="shared" si="23"/>
        <v>900000</v>
      </c>
    </row>
    <row r="176" spans="1:8" ht="30" x14ac:dyDescent="0.2">
      <c r="A176" s="26" t="s">
        <v>194</v>
      </c>
      <c r="B176" s="49" t="s">
        <v>352</v>
      </c>
      <c r="C176" s="49" t="s">
        <v>291</v>
      </c>
      <c r="D176" s="54" t="s">
        <v>377</v>
      </c>
      <c r="E176" s="40">
        <v>200</v>
      </c>
      <c r="F176" s="51">
        <v>0</v>
      </c>
      <c r="G176" s="51">
        <v>900000</v>
      </c>
      <c r="H176" s="51">
        <v>900000</v>
      </c>
    </row>
    <row r="177" spans="1:32" s="45" customFormat="1" ht="15.75" hidden="1" x14ac:dyDescent="0.25">
      <c r="A177" s="28" t="s">
        <v>354</v>
      </c>
      <c r="B177" s="47" t="s">
        <v>350</v>
      </c>
      <c r="C177" s="47"/>
      <c r="D177" s="55"/>
      <c r="E177" s="43"/>
      <c r="F177" s="53">
        <f>F178</f>
        <v>0</v>
      </c>
      <c r="G177" s="53">
        <f t="shared" ref="G177:H181" si="24">G178</f>
        <v>0</v>
      </c>
      <c r="H177" s="53">
        <f t="shared" si="24"/>
        <v>0</v>
      </c>
      <c r="I177" s="110"/>
      <c r="J177" s="141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3"/>
      <c r="V177" s="143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</row>
    <row r="178" spans="1:32" s="45" customFormat="1" ht="15.75" hidden="1" x14ac:dyDescent="0.25">
      <c r="A178" s="28" t="s">
        <v>355</v>
      </c>
      <c r="B178" s="47" t="s">
        <v>350</v>
      </c>
      <c r="C178" s="47" t="s">
        <v>350</v>
      </c>
      <c r="D178" s="55"/>
      <c r="E178" s="43"/>
      <c r="F178" s="53">
        <f>F179</f>
        <v>0</v>
      </c>
      <c r="G178" s="53">
        <f t="shared" si="24"/>
        <v>0</v>
      </c>
      <c r="H178" s="53">
        <f t="shared" si="24"/>
        <v>0</v>
      </c>
      <c r="I178" s="110"/>
      <c r="J178" s="141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3"/>
      <c r="V178" s="143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</row>
    <row r="179" spans="1:32" s="45" customFormat="1" ht="15.75" hidden="1" x14ac:dyDescent="0.25">
      <c r="A179" s="30" t="s">
        <v>294</v>
      </c>
      <c r="B179" s="47" t="s">
        <v>350</v>
      </c>
      <c r="C179" s="47" t="s">
        <v>350</v>
      </c>
      <c r="D179" s="55" t="s">
        <v>295</v>
      </c>
      <c r="E179" s="43"/>
      <c r="F179" s="53">
        <f>F180</f>
        <v>0</v>
      </c>
      <c r="G179" s="53">
        <f t="shared" si="24"/>
        <v>0</v>
      </c>
      <c r="H179" s="53">
        <f t="shared" si="24"/>
        <v>0</v>
      </c>
      <c r="I179" s="110"/>
      <c r="J179" s="141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3"/>
      <c r="V179" s="143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</row>
    <row r="180" spans="1:32" hidden="1" x14ac:dyDescent="0.2">
      <c r="A180" s="26" t="s">
        <v>314</v>
      </c>
      <c r="B180" s="49" t="s">
        <v>350</v>
      </c>
      <c r="C180" s="49" t="s">
        <v>350</v>
      </c>
      <c r="D180" s="54" t="s">
        <v>315</v>
      </c>
      <c r="E180" s="40"/>
      <c r="F180" s="51">
        <f>F181</f>
        <v>0</v>
      </c>
      <c r="G180" s="51">
        <f t="shared" si="24"/>
        <v>0</v>
      </c>
      <c r="H180" s="51">
        <f t="shared" si="24"/>
        <v>0</v>
      </c>
    </row>
    <row r="181" spans="1:32" ht="30" hidden="1" x14ac:dyDescent="0.2">
      <c r="A181" s="26" t="s">
        <v>324</v>
      </c>
      <c r="B181" s="49" t="s">
        <v>350</v>
      </c>
      <c r="C181" s="49" t="s">
        <v>350</v>
      </c>
      <c r="D181" s="54" t="s">
        <v>325</v>
      </c>
      <c r="E181" s="40"/>
      <c r="F181" s="51">
        <f>F182</f>
        <v>0</v>
      </c>
      <c r="G181" s="51">
        <f t="shared" si="24"/>
        <v>0</v>
      </c>
      <c r="H181" s="51">
        <f t="shared" si="24"/>
        <v>0</v>
      </c>
    </row>
    <row r="182" spans="1:32" ht="30" hidden="1" x14ac:dyDescent="0.2">
      <c r="A182" s="26" t="s">
        <v>194</v>
      </c>
      <c r="B182" s="49" t="s">
        <v>350</v>
      </c>
      <c r="C182" s="49" t="s">
        <v>350</v>
      </c>
      <c r="D182" s="54" t="s">
        <v>325</v>
      </c>
      <c r="E182" s="40">
        <v>200</v>
      </c>
      <c r="F182" s="51">
        <v>0</v>
      </c>
      <c r="G182" s="51">
        <v>0</v>
      </c>
      <c r="H182" s="51">
        <v>0</v>
      </c>
    </row>
    <row r="183" spans="1:32" s="45" customFormat="1" ht="15.75" x14ac:dyDescent="0.25">
      <c r="A183" s="30" t="s">
        <v>356</v>
      </c>
      <c r="B183" s="47" t="s">
        <v>328</v>
      </c>
      <c r="C183" s="47"/>
      <c r="D183" s="47"/>
      <c r="E183" s="47"/>
      <c r="F183" s="48">
        <f>F184+F189+F197+F204</f>
        <v>58312420.359999999</v>
      </c>
      <c r="G183" s="48">
        <f>G184+G189+G197+G204</f>
        <v>21346438.030000001</v>
      </c>
      <c r="H183" s="48">
        <f>H184+H189+H197+H204</f>
        <v>21346438.030000001</v>
      </c>
      <c r="I183" s="110"/>
      <c r="J183" s="141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3"/>
      <c r="V183" s="143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</row>
    <row r="184" spans="1:32" s="45" customFormat="1" ht="15.75" x14ac:dyDescent="0.25">
      <c r="A184" s="30" t="s">
        <v>357</v>
      </c>
      <c r="B184" s="47" t="s">
        <v>328</v>
      </c>
      <c r="C184" s="47" t="s">
        <v>291</v>
      </c>
      <c r="D184" s="47"/>
      <c r="E184" s="47"/>
      <c r="F184" s="48">
        <f t="shared" ref="F184:H187" si="25">F185</f>
        <v>4392396.68</v>
      </c>
      <c r="G184" s="48">
        <f t="shared" si="25"/>
        <v>3872922</v>
      </c>
      <c r="H184" s="48">
        <f t="shared" si="25"/>
        <v>3872922</v>
      </c>
      <c r="I184" s="110"/>
      <c r="J184" s="141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3"/>
      <c r="V184" s="143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</row>
    <row r="185" spans="1:32" s="45" customFormat="1" ht="15.75" x14ac:dyDescent="0.25">
      <c r="A185" s="30" t="s">
        <v>294</v>
      </c>
      <c r="B185" s="47" t="s">
        <v>328</v>
      </c>
      <c r="C185" s="47" t="s">
        <v>291</v>
      </c>
      <c r="D185" s="47" t="s">
        <v>295</v>
      </c>
      <c r="E185" s="47"/>
      <c r="F185" s="48">
        <f t="shared" si="25"/>
        <v>4392396.68</v>
      </c>
      <c r="G185" s="48">
        <f t="shared" si="25"/>
        <v>3872922</v>
      </c>
      <c r="H185" s="48">
        <f t="shared" si="25"/>
        <v>3872922</v>
      </c>
      <c r="I185" s="110"/>
      <c r="J185" s="141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3"/>
      <c r="V185" s="143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</row>
    <row r="186" spans="1:32" x14ac:dyDescent="0.2">
      <c r="A186" s="26" t="s">
        <v>314</v>
      </c>
      <c r="B186" s="49" t="s">
        <v>328</v>
      </c>
      <c r="C186" s="49" t="s">
        <v>291</v>
      </c>
      <c r="D186" s="49" t="s">
        <v>315</v>
      </c>
      <c r="E186" s="49"/>
      <c r="F186" s="50">
        <f>F187</f>
        <v>4392396.68</v>
      </c>
      <c r="G186" s="50">
        <f t="shared" si="25"/>
        <v>3872922</v>
      </c>
      <c r="H186" s="50">
        <f t="shared" si="25"/>
        <v>3872922</v>
      </c>
    </row>
    <row r="187" spans="1:32" ht="60" x14ac:dyDescent="0.2">
      <c r="A187" s="56" t="s">
        <v>469</v>
      </c>
      <c r="B187" s="49" t="s">
        <v>328</v>
      </c>
      <c r="C187" s="49" t="s">
        <v>291</v>
      </c>
      <c r="D187" s="49" t="s">
        <v>470</v>
      </c>
      <c r="E187" s="49"/>
      <c r="F187" s="50">
        <f t="shared" si="25"/>
        <v>4392396.68</v>
      </c>
      <c r="G187" s="50">
        <f t="shared" si="25"/>
        <v>3872922</v>
      </c>
      <c r="H187" s="50">
        <f t="shared" si="25"/>
        <v>3872922</v>
      </c>
    </row>
    <row r="188" spans="1:32" ht="30" x14ac:dyDescent="0.2">
      <c r="A188" s="26" t="s">
        <v>195</v>
      </c>
      <c r="B188" s="49" t="s">
        <v>328</v>
      </c>
      <c r="C188" s="49" t="s">
        <v>291</v>
      </c>
      <c r="D188" s="49" t="s">
        <v>470</v>
      </c>
      <c r="E188" s="49" t="s">
        <v>246</v>
      </c>
      <c r="F188" s="51">
        <f>3872922+519474.68</f>
        <v>4392396.68</v>
      </c>
      <c r="G188" s="51">
        <v>3872922</v>
      </c>
      <c r="H188" s="51">
        <v>3872922</v>
      </c>
    </row>
    <row r="189" spans="1:32" ht="15.75" x14ac:dyDescent="0.25">
      <c r="A189" s="30" t="s">
        <v>358</v>
      </c>
      <c r="B189" s="47" t="s">
        <v>328</v>
      </c>
      <c r="C189" s="47" t="s">
        <v>301</v>
      </c>
      <c r="D189" s="47"/>
      <c r="E189" s="47"/>
      <c r="F189" s="48">
        <f t="shared" ref="F189:H190" si="26">F190</f>
        <v>29826711.990000002</v>
      </c>
      <c r="G189" s="48">
        <f t="shared" si="26"/>
        <v>0</v>
      </c>
      <c r="H189" s="48">
        <f t="shared" si="26"/>
        <v>0</v>
      </c>
    </row>
    <row r="190" spans="1:32" ht="15.75" x14ac:dyDescent="0.25">
      <c r="A190" s="30" t="s">
        <v>294</v>
      </c>
      <c r="B190" s="47" t="s">
        <v>328</v>
      </c>
      <c r="C190" s="47" t="s">
        <v>301</v>
      </c>
      <c r="D190" s="47" t="s">
        <v>295</v>
      </c>
      <c r="E190" s="47"/>
      <c r="F190" s="48">
        <f t="shared" si="26"/>
        <v>29826711.990000002</v>
      </c>
      <c r="G190" s="48">
        <f t="shared" si="26"/>
        <v>0</v>
      </c>
      <c r="H190" s="48">
        <f t="shared" si="26"/>
        <v>0</v>
      </c>
    </row>
    <row r="191" spans="1:32" x14ac:dyDescent="0.2">
      <c r="A191" s="26" t="s">
        <v>314</v>
      </c>
      <c r="B191" s="49" t="s">
        <v>328</v>
      </c>
      <c r="C191" s="49" t="s">
        <v>301</v>
      </c>
      <c r="D191" s="49" t="s">
        <v>315</v>
      </c>
      <c r="E191" s="49"/>
      <c r="F191" s="50">
        <f>F192+F195</f>
        <v>29826711.990000002</v>
      </c>
      <c r="G191" s="50">
        <f>G192+G195</f>
        <v>0</v>
      </c>
      <c r="H191" s="50">
        <f>H192+H195</f>
        <v>0</v>
      </c>
    </row>
    <row r="192" spans="1:32" ht="30" x14ac:dyDescent="0.2">
      <c r="A192" s="26" t="s">
        <v>359</v>
      </c>
      <c r="B192" s="49" t="s">
        <v>328</v>
      </c>
      <c r="C192" s="49" t="s">
        <v>301</v>
      </c>
      <c r="D192" s="49" t="s">
        <v>360</v>
      </c>
      <c r="E192" s="49"/>
      <c r="F192" s="50">
        <f>F194+F193</f>
        <v>29826711.990000002</v>
      </c>
      <c r="G192" s="50">
        <f t="shared" ref="G192:H192" si="27">G194+G193</f>
        <v>0</v>
      </c>
      <c r="H192" s="50">
        <f t="shared" si="27"/>
        <v>0</v>
      </c>
    </row>
    <row r="193" spans="1:32" ht="30" x14ac:dyDescent="0.2">
      <c r="A193" s="26" t="s">
        <v>194</v>
      </c>
      <c r="B193" s="49" t="s">
        <v>328</v>
      </c>
      <c r="C193" s="49" t="s">
        <v>301</v>
      </c>
      <c r="D193" s="49" t="s">
        <v>360</v>
      </c>
      <c r="E193" s="49" t="s">
        <v>241</v>
      </c>
      <c r="F193" s="50">
        <v>3050171.99</v>
      </c>
      <c r="G193" s="50">
        <v>0</v>
      </c>
      <c r="H193" s="50">
        <v>0</v>
      </c>
    </row>
    <row r="194" spans="1:32" ht="30" x14ac:dyDescent="0.2">
      <c r="A194" s="26" t="s">
        <v>214</v>
      </c>
      <c r="B194" s="49" t="s">
        <v>328</v>
      </c>
      <c r="C194" s="49" t="s">
        <v>301</v>
      </c>
      <c r="D194" s="49" t="s">
        <v>360</v>
      </c>
      <c r="E194" s="49" t="s">
        <v>255</v>
      </c>
      <c r="F194" s="51">
        <f>22638740+4137800</f>
        <v>26776540</v>
      </c>
      <c r="G194" s="51">
        <v>0</v>
      </c>
      <c r="H194" s="51">
        <v>0</v>
      </c>
    </row>
    <row r="195" spans="1:32" ht="30" hidden="1" x14ac:dyDescent="0.2">
      <c r="A195" s="26" t="s">
        <v>324</v>
      </c>
      <c r="B195" s="49" t="s">
        <v>328</v>
      </c>
      <c r="C195" s="49" t="s">
        <v>301</v>
      </c>
      <c r="D195" s="54" t="s">
        <v>325</v>
      </c>
      <c r="E195" s="40"/>
      <c r="F195" s="51">
        <f>F196</f>
        <v>0</v>
      </c>
      <c r="G195" s="51">
        <f>G196</f>
        <v>0</v>
      </c>
      <c r="H195" s="51">
        <f>H196</f>
        <v>0</v>
      </c>
    </row>
    <row r="196" spans="1:32" ht="30" hidden="1" x14ac:dyDescent="0.2">
      <c r="A196" s="26" t="s">
        <v>194</v>
      </c>
      <c r="B196" s="49" t="s">
        <v>328</v>
      </c>
      <c r="C196" s="49" t="s">
        <v>301</v>
      </c>
      <c r="D196" s="54" t="s">
        <v>325</v>
      </c>
      <c r="E196" s="40">
        <v>200</v>
      </c>
      <c r="F196" s="51">
        <v>0</v>
      </c>
      <c r="G196" s="51">
        <v>0</v>
      </c>
      <c r="H196" s="51">
        <v>0</v>
      </c>
    </row>
    <row r="197" spans="1:32" ht="15.75" x14ac:dyDescent="0.25">
      <c r="A197" s="30" t="s">
        <v>361</v>
      </c>
      <c r="B197" s="47" t="s">
        <v>328</v>
      </c>
      <c r="C197" s="47" t="s">
        <v>305</v>
      </c>
      <c r="D197" s="47"/>
      <c r="E197" s="47"/>
      <c r="F197" s="48">
        <f t="shared" ref="F197:H199" si="28">F198</f>
        <v>16165600</v>
      </c>
      <c r="G197" s="48">
        <f t="shared" si="28"/>
        <v>13500000</v>
      </c>
      <c r="H197" s="48">
        <f t="shared" si="28"/>
        <v>13500000</v>
      </c>
    </row>
    <row r="198" spans="1:32" ht="15.75" x14ac:dyDescent="0.25">
      <c r="A198" s="30" t="s">
        <v>294</v>
      </c>
      <c r="B198" s="47" t="s">
        <v>328</v>
      </c>
      <c r="C198" s="47" t="s">
        <v>305</v>
      </c>
      <c r="D198" s="47" t="s">
        <v>295</v>
      </c>
      <c r="E198" s="47"/>
      <c r="F198" s="48">
        <f t="shared" si="28"/>
        <v>16165600</v>
      </c>
      <c r="G198" s="48">
        <f t="shared" si="28"/>
        <v>13500000</v>
      </c>
      <c r="H198" s="48">
        <f t="shared" si="28"/>
        <v>13500000</v>
      </c>
    </row>
    <row r="199" spans="1:32" x14ac:dyDescent="0.2">
      <c r="A199" s="26" t="s">
        <v>314</v>
      </c>
      <c r="B199" s="49" t="s">
        <v>328</v>
      </c>
      <c r="C199" s="49" t="s">
        <v>305</v>
      </c>
      <c r="D199" s="49" t="s">
        <v>315</v>
      </c>
      <c r="E199" s="49"/>
      <c r="F199" s="50">
        <f>F200</f>
        <v>16165600</v>
      </c>
      <c r="G199" s="50">
        <f t="shared" si="28"/>
        <v>13500000</v>
      </c>
      <c r="H199" s="50">
        <f t="shared" si="28"/>
        <v>13500000</v>
      </c>
    </row>
    <row r="200" spans="1:32" ht="30" x14ac:dyDescent="0.2">
      <c r="A200" s="26" t="s">
        <v>359</v>
      </c>
      <c r="B200" s="49" t="s">
        <v>328</v>
      </c>
      <c r="C200" s="49" t="s">
        <v>305</v>
      </c>
      <c r="D200" s="49" t="s">
        <v>360</v>
      </c>
      <c r="E200" s="49"/>
      <c r="F200" s="50">
        <f>SUM(F201:F203)</f>
        <v>16165600</v>
      </c>
      <c r="G200" s="50">
        <f>SUM(G201:G202)</f>
        <v>13500000</v>
      </c>
      <c r="H200" s="50">
        <f>SUM(H201:H202)</f>
        <v>13500000</v>
      </c>
    </row>
    <row r="201" spans="1:32" ht="30" x14ac:dyDescent="0.2">
      <c r="A201" s="26" t="s">
        <v>194</v>
      </c>
      <c r="B201" s="49" t="s">
        <v>328</v>
      </c>
      <c r="C201" s="49" t="s">
        <v>305</v>
      </c>
      <c r="D201" s="49" t="s">
        <v>360</v>
      </c>
      <c r="E201" s="49" t="s">
        <v>241</v>
      </c>
      <c r="F201" s="179">
        <v>197734</v>
      </c>
      <c r="G201" s="179">
        <v>197734</v>
      </c>
      <c r="H201" s="179">
        <v>197734</v>
      </c>
    </row>
    <row r="202" spans="1:32" ht="30" x14ac:dyDescent="0.2">
      <c r="A202" s="26" t="s">
        <v>195</v>
      </c>
      <c r="B202" s="49" t="s">
        <v>328</v>
      </c>
      <c r="C202" s="49" t="s">
        <v>305</v>
      </c>
      <c r="D202" s="49" t="s">
        <v>360</v>
      </c>
      <c r="E202" s="49" t="s">
        <v>246</v>
      </c>
      <c r="F202" s="179">
        <v>13302266</v>
      </c>
      <c r="G202" s="179">
        <v>13302266</v>
      </c>
      <c r="H202" s="179">
        <v>13302266</v>
      </c>
    </row>
    <row r="203" spans="1:32" ht="30" x14ac:dyDescent="0.2">
      <c r="A203" s="26" t="s">
        <v>214</v>
      </c>
      <c r="B203" s="49" t="s">
        <v>328</v>
      </c>
      <c r="C203" s="49" t="s">
        <v>305</v>
      </c>
      <c r="D203" s="49" t="s">
        <v>360</v>
      </c>
      <c r="E203" s="49" t="s">
        <v>255</v>
      </c>
      <c r="F203" s="179">
        <v>2665600</v>
      </c>
      <c r="G203" s="180">
        <v>0</v>
      </c>
      <c r="H203" s="180">
        <v>0</v>
      </c>
      <c r="I203" s="176"/>
    </row>
    <row r="204" spans="1:32" s="45" customFormat="1" ht="31.5" x14ac:dyDescent="0.25">
      <c r="A204" s="30" t="s">
        <v>362</v>
      </c>
      <c r="B204" s="47" t="s">
        <v>328</v>
      </c>
      <c r="C204" s="47" t="s">
        <v>309</v>
      </c>
      <c r="D204" s="47"/>
      <c r="E204" s="47"/>
      <c r="F204" s="48">
        <f>F205</f>
        <v>7927711.6900000004</v>
      </c>
      <c r="G204" s="48">
        <f>G205</f>
        <v>3973516.03</v>
      </c>
      <c r="H204" s="48">
        <f>H205</f>
        <v>3973516.03</v>
      </c>
      <c r="I204" s="110"/>
      <c r="J204" s="141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3"/>
      <c r="V204" s="143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</row>
    <row r="205" spans="1:32" s="45" customFormat="1" ht="15.75" x14ac:dyDescent="0.25">
      <c r="A205" s="30" t="s">
        <v>294</v>
      </c>
      <c r="B205" s="47" t="s">
        <v>328</v>
      </c>
      <c r="C205" s="47" t="s">
        <v>309</v>
      </c>
      <c r="D205" s="47" t="s">
        <v>295</v>
      </c>
      <c r="E205" s="47"/>
      <c r="F205" s="48">
        <f>F206+F209</f>
        <v>7927711.6900000004</v>
      </c>
      <c r="G205" s="48">
        <f>G206+G209</f>
        <v>3973516.03</v>
      </c>
      <c r="H205" s="48">
        <f>H206+H209</f>
        <v>3973516.03</v>
      </c>
      <c r="I205" s="110"/>
      <c r="J205" s="141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3"/>
      <c r="V205" s="143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</row>
    <row r="206" spans="1:32" s="45" customFormat="1" ht="30.75" x14ac:dyDescent="0.25">
      <c r="A206" s="26" t="s">
        <v>296</v>
      </c>
      <c r="B206" s="49" t="s">
        <v>328</v>
      </c>
      <c r="C206" s="49" t="s">
        <v>309</v>
      </c>
      <c r="D206" s="49" t="s">
        <v>297</v>
      </c>
      <c r="E206" s="49"/>
      <c r="F206" s="50">
        <f t="shared" ref="F206:H207" si="29">F207</f>
        <v>4444504.91</v>
      </c>
      <c r="G206" s="50">
        <f t="shared" si="29"/>
        <v>2854216.03</v>
      </c>
      <c r="H206" s="50">
        <f t="shared" si="29"/>
        <v>2854216.03</v>
      </c>
      <c r="I206" s="110"/>
      <c r="J206" s="141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3"/>
      <c r="V206" s="143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</row>
    <row r="207" spans="1:32" s="45" customFormat="1" ht="30.75" x14ac:dyDescent="0.25">
      <c r="A207" s="26" t="s">
        <v>306</v>
      </c>
      <c r="B207" s="49" t="s">
        <v>328</v>
      </c>
      <c r="C207" s="49" t="s">
        <v>309</v>
      </c>
      <c r="D207" s="49" t="s">
        <v>307</v>
      </c>
      <c r="E207" s="49"/>
      <c r="F207" s="50">
        <f t="shared" si="29"/>
        <v>4444504.91</v>
      </c>
      <c r="G207" s="50">
        <f t="shared" si="29"/>
        <v>2854216.03</v>
      </c>
      <c r="H207" s="50">
        <f t="shared" si="29"/>
        <v>2854216.03</v>
      </c>
      <c r="I207" s="110"/>
      <c r="J207" s="141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3"/>
      <c r="V207" s="143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</row>
    <row r="208" spans="1:32" s="45" customFormat="1" ht="75.75" x14ac:dyDescent="0.25">
      <c r="A208" s="26" t="s">
        <v>193</v>
      </c>
      <c r="B208" s="49" t="s">
        <v>328</v>
      </c>
      <c r="C208" s="49" t="s">
        <v>309</v>
      </c>
      <c r="D208" s="49" t="s">
        <v>307</v>
      </c>
      <c r="E208" s="49" t="s">
        <v>222</v>
      </c>
      <c r="F208" s="50">
        <f>2854216.03+1308059.52+282229.36</f>
        <v>4444504.91</v>
      </c>
      <c r="G208" s="50">
        <v>2854216.03</v>
      </c>
      <c r="H208" s="50">
        <v>2854216.03</v>
      </c>
      <c r="I208" s="110"/>
      <c r="J208" s="141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3"/>
      <c r="V208" s="143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</row>
    <row r="209" spans="1:26" x14ac:dyDescent="0.2">
      <c r="A209" s="26" t="s">
        <v>314</v>
      </c>
      <c r="B209" s="49" t="s">
        <v>328</v>
      </c>
      <c r="C209" s="49" t="s">
        <v>309</v>
      </c>
      <c r="D209" s="49" t="s">
        <v>315</v>
      </c>
      <c r="E209" s="49"/>
      <c r="F209" s="50">
        <f>F212+F210</f>
        <v>3483206.7800000003</v>
      </c>
      <c r="G209" s="50">
        <f t="shared" ref="G209:H209" si="30">G212+G210</f>
        <v>1119300</v>
      </c>
      <c r="H209" s="50">
        <f t="shared" si="30"/>
        <v>1119300</v>
      </c>
    </row>
    <row r="210" spans="1:26" ht="30" x14ac:dyDescent="0.2">
      <c r="A210" s="26" t="s">
        <v>359</v>
      </c>
      <c r="B210" s="49" t="s">
        <v>328</v>
      </c>
      <c r="C210" s="49" t="s">
        <v>309</v>
      </c>
      <c r="D210" s="49" t="s">
        <v>360</v>
      </c>
      <c r="E210" s="49"/>
      <c r="F210" s="50">
        <f>F211</f>
        <v>2290374</v>
      </c>
      <c r="G210" s="50">
        <f t="shared" ref="G210:H210" si="31">G211</f>
        <v>0</v>
      </c>
      <c r="H210" s="50">
        <f t="shared" si="31"/>
        <v>0</v>
      </c>
    </row>
    <row r="211" spans="1:26" ht="30" x14ac:dyDescent="0.2">
      <c r="A211" s="26" t="s">
        <v>195</v>
      </c>
      <c r="B211" s="49" t="s">
        <v>328</v>
      </c>
      <c r="C211" s="49" t="s">
        <v>309</v>
      </c>
      <c r="D211" s="49" t="s">
        <v>360</v>
      </c>
      <c r="E211" s="49" t="s">
        <v>246</v>
      </c>
      <c r="F211" s="50">
        <f>460919+1062299+767156</f>
        <v>2290374</v>
      </c>
      <c r="G211" s="50"/>
      <c r="H211" s="50"/>
    </row>
    <row r="212" spans="1:26" ht="30" x14ac:dyDescent="0.2">
      <c r="A212" s="26" t="s">
        <v>471</v>
      </c>
      <c r="B212" s="49" t="s">
        <v>328</v>
      </c>
      <c r="C212" s="49" t="s">
        <v>309</v>
      </c>
      <c r="D212" s="49" t="s">
        <v>472</v>
      </c>
      <c r="E212" s="49"/>
      <c r="F212" s="50">
        <f>F213+F214</f>
        <v>1192832.78</v>
      </c>
      <c r="G212" s="50">
        <f>G213+G214</f>
        <v>1119300</v>
      </c>
      <c r="H212" s="50">
        <f>H213+H214</f>
        <v>1119300</v>
      </c>
    </row>
    <row r="213" spans="1:26" ht="30" hidden="1" x14ac:dyDescent="0.2">
      <c r="A213" s="26" t="s">
        <v>194</v>
      </c>
      <c r="B213" s="49" t="s">
        <v>328</v>
      </c>
      <c r="C213" s="49" t="s">
        <v>309</v>
      </c>
      <c r="D213" s="49" t="s">
        <v>360</v>
      </c>
      <c r="E213" s="49" t="s">
        <v>241</v>
      </c>
      <c r="F213" s="51"/>
      <c r="G213" s="51"/>
      <c r="H213" s="51"/>
      <c r="K213" s="140"/>
      <c r="L213" s="140"/>
      <c r="M213" s="140"/>
      <c r="O213" s="140"/>
      <c r="P213" s="140"/>
      <c r="Q213" s="140"/>
      <c r="S213" s="140"/>
      <c r="V213" s="140"/>
      <c r="Z213" s="140"/>
    </row>
    <row r="214" spans="1:26" ht="30" x14ac:dyDescent="0.2">
      <c r="A214" s="26" t="s">
        <v>195</v>
      </c>
      <c r="B214" s="49" t="s">
        <v>328</v>
      </c>
      <c r="C214" s="49" t="s">
        <v>309</v>
      </c>
      <c r="D214" s="49" t="s">
        <v>472</v>
      </c>
      <c r="E214" s="49" t="s">
        <v>246</v>
      </c>
      <c r="F214" s="51">
        <f>1119300+73532.78</f>
        <v>1192832.78</v>
      </c>
      <c r="G214" s="51">
        <v>1119300</v>
      </c>
      <c r="H214" s="51">
        <v>1119300</v>
      </c>
      <c r="K214" s="140"/>
      <c r="L214" s="140"/>
      <c r="M214" s="140"/>
      <c r="O214" s="140"/>
      <c r="P214" s="140"/>
      <c r="Q214" s="140"/>
      <c r="S214" s="140"/>
      <c r="V214" s="140"/>
      <c r="Z214" s="140"/>
    </row>
    <row r="215" spans="1:26" ht="15.75" x14ac:dyDescent="0.25">
      <c r="A215" s="30" t="s">
        <v>363</v>
      </c>
      <c r="B215" s="47" t="s">
        <v>313</v>
      </c>
      <c r="C215" s="47"/>
      <c r="D215" s="47"/>
      <c r="E215" s="57"/>
      <c r="F215" s="53">
        <f>F216</f>
        <v>41175062.200000003</v>
      </c>
      <c r="G215" s="53">
        <f t="shared" ref="G215:H218" si="32">G216</f>
        <v>0</v>
      </c>
      <c r="H215" s="53">
        <f t="shared" si="32"/>
        <v>0</v>
      </c>
    </row>
    <row r="216" spans="1:26" ht="15.75" x14ac:dyDescent="0.25">
      <c r="A216" s="30" t="s">
        <v>364</v>
      </c>
      <c r="B216" s="47" t="s">
        <v>313</v>
      </c>
      <c r="C216" s="47" t="s">
        <v>291</v>
      </c>
      <c r="D216" s="47"/>
      <c r="E216" s="57"/>
      <c r="F216" s="53">
        <f>F217</f>
        <v>41175062.200000003</v>
      </c>
      <c r="G216" s="53">
        <f t="shared" si="32"/>
        <v>0</v>
      </c>
      <c r="H216" s="53">
        <f t="shared" si="32"/>
        <v>0</v>
      </c>
    </row>
    <row r="217" spans="1:26" ht="15.75" x14ac:dyDescent="0.25">
      <c r="A217" s="30" t="s">
        <v>294</v>
      </c>
      <c r="B217" s="47" t="s">
        <v>313</v>
      </c>
      <c r="C217" s="47" t="s">
        <v>291</v>
      </c>
      <c r="D217" s="58" t="s">
        <v>295</v>
      </c>
      <c r="E217" s="57"/>
      <c r="F217" s="53">
        <f>F218</f>
        <v>41175062.200000003</v>
      </c>
      <c r="G217" s="53">
        <f t="shared" si="32"/>
        <v>0</v>
      </c>
      <c r="H217" s="53">
        <f t="shared" si="32"/>
        <v>0</v>
      </c>
    </row>
    <row r="218" spans="1:26" x14ac:dyDescent="0.2">
      <c r="A218" s="26" t="s">
        <v>314</v>
      </c>
      <c r="B218" s="49" t="s">
        <v>313</v>
      </c>
      <c r="C218" s="49" t="s">
        <v>291</v>
      </c>
      <c r="D218" s="49" t="s">
        <v>315</v>
      </c>
      <c r="E218" s="59"/>
      <c r="F218" s="51">
        <f>F219</f>
        <v>41175062.200000003</v>
      </c>
      <c r="G218" s="51">
        <f t="shared" si="32"/>
        <v>0</v>
      </c>
      <c r="H218" s="51">
        <f t="shared" si="32"/>
        <v>0</v>
      </c>
    </row>
    <row r="219" spans="1:26" x14ac:dyDescent="0.2">
      <c r="A219" s="26" t="s">
        <v>365</v>
      </c>
      <c r="B219" s="49" t="s">
        <v>313</v>
      </c>
      <c r="C219" s="49" t="s">
        <v>291</v>
      </c>
      <c r="D219" s="49" t="s">
        <v>366</v>
      </c>
      <c r="E219" s="59"/>
      <c r="F219" s="51">
        <f>F222+F220+F221</f>
        <v>41175062.200000003</v>
      </c>
      <c r="G219" s="51">
        <f>G222+G220+G221</f>
        <v>0</v>
      </c>
      <c r="H219" s="51">
        <f>H222+H220+H221</f>
        <v>0</v>
      </c>
    </row>
    <row r="220" spans="1:26" ht="30" x14ac:dyDescent="0.2">
      <c r="A220" s="26" t="s">
        <v>194</v>
      </c>
      <c r="B220" s="49" t="s">
        <v>313</v>
      </c>
      <c r="C220" s="49" t="s">
        <v>291</v>
      </c>
      <c r="D220" s="49" t="s">
        <v>366</v>
      </c>
      <c r="E220" s="59" t="s">
        <v>241</v>
      </c>
      <c r="F220" s="51">
        <f>23168250+14317125.6+2028632.4</f>
        <v>39514008</v>
      </c>
      <c r="G220" s="51">
        <v>0</v>
      </c>
      <c r="H220" s="51">
        <v>0</v>
      </c>
    </row>
    <row r="221" spans="1:26" ht="30" x14ac:dyDescent="0.2">
      <c r="A221" s="26" t="s">
        <v>195</v>
      </c>
      <c r="B221" s="49" t="s">
        <v>313</v>
      </c>
      <c r="C221" s="49" t="s">
        <v>291</v>
      </c>
      <c r="D221" s="49" t="s">
        <v>366</v>
      </c>
      <c r="E221" s="59" t="s">
        <v>246</v>
      </c>
      <c r="F221" s="51">
        <f>400000+125379-45379+508873</f>
        <v>988873</v>
      </c>
      <c r="G221" s="51">
        <v>0</v>
      </c>
      <c r="H221" s="51">
        <v>0</v>
      </c>
    </row>
    <row r="222" spans="1:26" ht="30" x14ac:dyDescent="0.2">
      <c r="A222" s="26" t="s">
        <v>214</v>
      </c>
      <c r="B222" s="49" t="s">
        <v>313</v>
      </c>
      <c r="C222" s="49" t="s">
        <v>291</v>
      </c>
      <c r="D222" s="49" t="s">
        <v>366</v>
      </c>
      <c r="E222" s="59" t="s">
        <v>255</v>
      </c>
      <c r="F222" s="51">
        <v>672181.2</v>
      </c>
      <c r="G222" s="51">
        <v>0</v>
      </c>
      <c r="H222" s="51">
        <v>0</v>
      </c>
    </row>
    <row r="223" spans="1:26" ht="63" x14ac:dyDescent="0.25">
      <c r="A223" s="60" t="s">
        <v>367</v>
      </c>
      <c r="B223" s="58" t="s">
        <v>368</v>
      </c>
      <c r="C223" s="58"/>
      <c r="D223" s="58"/>
      <c r="E223" s="61"/>
      <c r="F223" s="62">
        <f t="shared" ref="F223:H226" si="33">F224</f>
        <v>461564467.12</v>
      </c>
      <c r="G223" s="62">
        <f t="shared" si="33"/>
        <v>0</v>
      </c>
      <c r="H223" s="62">
        <f t="shared" si="33"/>
        <v>0</v>
      </c>
    </row>
    <row r="224" spans="1:26" ht="31.5" x14ac:dyDescent="0.25">
      <c r="A224" s="63" t="s">
        <v>369</v>
      </c>
      <c r="B224" s="58" t="s">
        <v>368</v>
      </c>
      <c r="C224" s="58" t="s">
        <v>301</v>
      </c>
      <c r="D224" s="58"/>
      <c r="E224" s="58"/>
      <c r="F224" s="62">
        <f t="shared" si="33"/>
        <v>461564467.12</v>
      </c>
      <c r="G224" s="62">
        <f t="shared" si="33"/>
        <v>0</v>
      </c>
      <c r="H224" s="62">
        <f t="shared" si="33"/>
        <v>0</v>
      </c>
    </row>
    <row r="225" spans="1:8" ht="15.75" x14ac:dyDescent="0.25">
      <c r="A225" s="30" t="s">
        <v>294</v>
      </c>
      <c r="B225" s="58" t="s">
        <v>368</v>
      </c>
      <c r="C225" s="58" t="s">
        <v>301</v>
      </c>
      <c r="D225" s="58" t="s">
        <v>295</v>
      </c>
      <c r="E225" s="58"/>
      <c r="F225" s="62">
        <f t="shared" si="33"/>
        <v>461564467.12</v>
      </c>
      <c r="G225" s="62">
        <f t="shared" si="33"/>
        <v>0</v>
      </c>
      <c r="H225" s="62">
        <f t="shared" si="33"/>
        <v>0</v>
      </c>
    </row>
    <row r="226" spans="1:8" x14ac:dyDescent="0.2">
      <c r="A226" s="26" t="s">
        <v>370</v>
      </c>
      <c r="B226" s="64" t="s">
        <v>368</v>
      </c>
      <c r="C226" s="64" t="s">
        <v>301</v>
      </c>
      <c r="D226" s="64" t="s">
        <v>371</v>
      </c>
      <c r="E226" s="64"/>
      <c r="F226" s="16">
        <f>F227+F229</f>
        <v>461564467.12</v>
      </c>
      <c r="G226" s="16">
        <f t="shared" si="33"/>
        <v>0</v>
      </c>
      <c r="H226" s="16">
        <f t="shared" si="33"/>
        <v>0</v>
      </c>
    </row>
    <row r="227" spans="1:8" ht="30" x14ac:dyDescent="0.2">
      <c r="A227" s="65" t="s">
        <v>372</v>
      </c>
      <c r="B227" s="64" t="s">
        <v>368</v>
      </c>
      <c r="C227" s="64" t="s">
        <v>301</v>
      </c>
      <c r="D227" s="64" t="s">
        <v>373</v>
      </c>
      <c r="E227" s="64"/>
      <c r="F227" s="16">
        <f>F228</f>
        <v>226058000</v>
      </c>
      <c r="G227" s="16">
        <f>G228</f>
        <v>0</v>
      </c>
      <c r="H227" s="16">
        <f>H228</f>
        <v>0</v>
      </c>
    </row>
    <row r="228" spans="1:8" x14ac:dyDescent="0.2">
      <c r="A228" s="65" t="s">
        <v>370</v>
      </c>
      <c r="B228" s="64" t="s">
        <v>368</v>
      </c>
      <c r="C228" s="64" t="s">
        <v>301</v>
      </c>
      <c r="D228" s="64" t="s">
        <v>373</v>
      </c>
      <c r="E228" s="64" t="s">
        <v>374</v>
      </c>
      <c r="F228" s="16">
        <f>266058000-40000000</f>
        <v>226058000</v>
      </c>
      <c r="G228" s="51">
        <v>0</v>
      </c>
      <c r="H228" s="51">
        <v>0</v>
      </c>
    </row>
    <row r="229" spans="1:8" ht="30" x14ac:dyDescent="0.2">
      <c r="A229" s="66" t="s">
        <v>375</v>
      </c>
      <c r="B229" s="64" t="s">
        <v>368</v>
      </c>
      <c r="C229" s="64" t="s">
        <v>301</v>
      </c>
      <c r="D229" s="67">
        <v>9960088520</v>
      </c>
      <c r="E229" s="67"/>
      <c r="F229" s="51">
        <f>F230</f>
        <v>235506467.12</v>
      </c>
      <c r="G229" s="51">
        <f>G230</f>
        <v>0</v>
      </c>
      <c r="H229" s="51">
        <f>H230</f>
        <v>0</v>
      </c>
    </row>
    <row r="230" spans="1:8" x14ac:dyDescent="0.2">
      <c r="A230" s="65" t="s">
        <v>370</v>
      </c>
      <c r="B230" s="64" t="s">
        <v>368</v>
      </c>
      <c r="C230" s="64" t="s">
        <v>301</v>
      </c>
      <c r="D230" s="67">
        <v>9960088520</v>
      </c>
      <c r="E230" s="67">
        <v>500</v>
      </c>
      <c r="F230" s="51">
        <f>14000000+91062871.73+58078706.61+791472.75+1582150.35+8642390.77+3481059.96+12413400+5098035.97+5621216.4+32894436.44+1840726.14</f>
        <v>235506467.12</v>
      </c>
      <c r="G230" s="51">
        <v>0</v>
      </c>
      <c r="H230" s="51">
        <v>0</v>
      </c>
    </row>
  </sheetData>
  <mergeCells count="1">
    <mergeCell ref="A9:H9"/>
  </mergeCells>
  <pageMargins left="0.70866141732283472" right="0.70866141732283472" top="0.74803149606299213" bottom="0.74803149606299213" header="0.31496062992125984" footer="0.31496062992125984"/>
  <pageSetup paperSize="9" scale="46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1"/>
  <sheetViews>
    <sheetView topLeftCell="A4" workbookViewId="0">
      <selection activeCell="A6" sqref="A6"/>
    </sheetView>
  </sheetViews>
  <sheetFormatPr defaultColWidth="9.140625" defaultRowHeight="15.75" x14ac:dyDescent="0.25"/>
  <cols>
    <col min="1" max="1" width="60.85546875" style="2" customWidth="1"/>
    <col min="2" max="2" width="6.140625" style="68" customWidth="1"/>
    <col min="3" max="3" width="6" style="68" customWidth="1"/>
    <col min="4" max="4" width="17.5703125" style="2" customWidth="1"/>
    <col min="5" max="5" width="8" style="2" customWidth="1"/>
    <col min="6" max="6" width="19.28515625" style="69" customWidth="1"/>
    <col min="7" max="7" width="21" style="73" customWidth="1"/>
    <col min="8" max="8" width="21" style="34" customWidth="1"/>
    <col min="9" max="9" width="9.140625" style="1" customWidth="1"/>
    <col min="10" max="10" width="19.140625" style="1" hidden="1" customWidth="1"/>
    <col min="11" max="11" width="18.7109375" style="1" hidden="1" customWidth="1"/>
    <col min="12" max="13" width="20.42578125" style="1" hidden="1" customWidth="1"/>
    <col min="14" max="14" width="17.28515625" style="1" bestFit="1" customWidth="1"/>
    <col min="15" max="16" width="21.5703125" style="1" customWidth="1"/>
    <col min="17" max="16384" width="9.140625" style="1"/>
  </cols>
  <sheetData>
    <row r="1" spans="1:16" ht="15" x14ac:dyDescent="0.25">
      <c r="G1" s="69"/>
      <c r="H1" s="69"/>
    </row>
    <row r="2" spans="1:16" ht="18.75" x14ac:dyDescent="0.3">
      <c r="D2" s="70"/>
      <c r="G2" s="71" t="s">
        <v>15</v>
      </c>
      <c r="H2" s="69"/>
    </row>
    <row r="3" spans="1:16" ht="18.75" x14ac:dyDescent="0.3">
      <c r="D3" s="70"/>
      <c r="G3" s="71" t="s">
        <v>286</v>
      </c>
      <c r="H3" s="69"/>
    </row>
    <row r="4" spans="1:16" ht="18.75" x14ac:dyDescent="0.3">
      <c r="D4" s="70"/>
      <c r="G4" s="71" t="s">
        <v>17</v>
      </c>
      <c r="H4" s="69"/>
    </row>
    <row r="5" spans="1:16" ht="18.75" x14ac:dyDescent="0.3">
      <c r="D5" s="70"/>
      <c r="G5" s="71" t="s">
        <v>18</v>
      </c>
      <c r="H5" s="69"/>
    </row>
    <row r="6" spans="1:16" ht="18.75" x14ac:dyDescent="0.3">
      <c r="D6" s="70"/>
      <c r="G6" s="71" t="s">
        <v>19</v>
      </c>
      <c r="H6" s="69"/>
    </row>
    <row r="7" spans="1:16" ht="18.75" x14ac:dyDescent="0.3">
      <c r="D7" s="70"/>
      <c r="G7" s="71" t="s">
        <v>563</v>
      </c>
      <c r="H7" s="69"/>
    </row>
    <row r="8" spans="1:16" ht="18.75" x14ac:dyDescent="0.3">
      <c r="D8" s="70"/>
      <c r="G8" s="71" t="s">
        <v>564</v>
      </c>
      <c r="H8" s="69"/>
    </row>
    <row r="9" spans="1:16" ht="15" x14ac:dyDescent="0.25">
      <c r="G9" s="69"/>
      <c r="H9" s="69"/>
    </row>
    <row r="11" spans="1:16" ht="59.25" customHeight="1" x14ac:dyDescent="0.25">
      <c r="A11" s="183" t="s">
        <v>409</v>
      </c>
      <c r="B11" s="183"/>
      <c r="C11" s="183"/>
      <c r="D11" s="183"/>
      <c r="E11" s="183"/>
      <c r="F11" s="183"/>
      <c r="G11" s="183"/>
      <c r="H11" s="183"/>
      <c r="M11" s="20"/>
      <c r="N11" s="20"/>
    </row>
    <row r="13" spans="1:16" x14ac:dyDescent="0.25">
      <c r="F13" s="72"/>
      <c r="H13" s="72" t="s">
        <v>185</v>
      </c>
    </row>
    <row r="14" spans="1:16" s="33" customFormat="1" ht="30" x14ac:dyDescent="0.25">
      <c r="A14" s="21" t="s">
        <v>21</v>
      </c>
      <c r="B14" s="74" t="s">
        <v>287</v>
      </c>
      <c r="C14" s="74" t="s">
        <v>288</v>
      </c>
      <c r="D14" s="21" t="s">
        <v>186</v>
      </c>
      <c r="E14" s="21" t="s">
        <v>187</v>
      </c>
      <c r="F14" s="41" t="s">
        <v>22</v>
      </c>
      <c r="G14" s="41" t="s">
        <v>23</v>
      </c>
      <c r="H14" s="41" t="s">
        <v>173</v>
      </c>
    </row>
    <row r="15" spans="1:16" s="31" customFormat="1" x14ac:dyDescent="0.25">
      <c r="A15" s="75" t="s">
        <v>188</v>
      </c>
      <c r="B15" s="76"/>
      <c r="C15" s="76"/>
      <c r="D15" s="22"/>
      <c r="E15" s="22"/>
      <c r="F15" s="77">
        <v>3487798365.0299997</v>
      </c>
      <c r="G15" s="77">
        <v>2215550585.6499996</v>
      </c>
      <c r="H15" s="77">
        <v>2219734655.3699999</v>
      </c>
      <c r="J15" s="32" t="e">
        <f>#REF!+'Приложение 2'!F13</f>
        <v>#REF!</v>
      </c>
      <c r="K15" s="32" t="e">
        <f>#REF!+'Приложение 2'!G13</f>
        <v>#REF!</v>
      </c>
      <c r="L15" s="32" t="e">
        <f>#REF!+'Приложение 2'!H13</f>
        <v>#REF!</v>
      </c>
      <c r="M15" s="32"/>
      <c r="N15" s="32"/>
      <c r="O15" s="32"/>
      <c r="P15" s="32"/>
    </row>
    <row r="16" spans="1:16" x14ac:dyDescent="0.25">
      <c r="A16" s="30" t="s">
        <v>290</v>
      </c>
      <c r="B16" s="47" t="s">
        <v>291</v>
      </c>
      <c r="C16" s="47"/>
      <c r="D16" s="47"/>
      <c r="E16" s="47"/>
      <c r="F16" s="48">
        <v>798036147.49000001</v>
      </c>
      <c r="G16" s="48">
        <v>616264674.56999993</v>
      </c>
      <c r="H16" s="48">
        <v>616264674.56999993</v>
      </c>
      <c r="M16" s="20"/>
    </row>
    <row r="17" spans="1:8" ht="47.25" x14ac:dyDescent="0.25">
      <c r="A17" s="30" t="s">
        <v>292</v>
      </c>
      <c r="B17" s="47" t="s">
        <v>291</v>
      </c>
      <c r="C17" s="47" t="s">
        <v>293</v>
      </c>
      <c r="D17" s="47"/>
      <c r="E17" s="47"/>
      <c r="F17" s="48">
        <v>8175148.0999999996</v>
      </c>
      <c r="G17" s="48">
        <v>7119360</v>
      </c>
      <c r="H17" s="48">
        <v>7119360</v>
      </c>
    </row>
    <row r="18" spans="1:8" s="78" customFormat="1" x14ac:dyDescent="0.25">
      <c r="A18" s="30" t="s">
        <v>294</v>
      </c>
      <c r="B18" s="47" t="s">
        <v>291</v>
      </c>
      <c r="C18" s="47" t="s">
        <v>293</v>
      </c>
      <c r="D18" s="47" t="s">
        <v>295</v>
      </c>
      <c r="E18" s="47"/>
      <c r="F18" s="48">
        <v>8175148.0999999996</v>
      </c>
      <c r="G18" s="48">
        <v>7119360</v>
      </c>
      <c r="H18" s="48">
        <v>7119360</v>
      </c>
    </row>
    <row r="19" spans="1:8" ht="30.75" x14ac:dyDescent="0.25">
      <c r="A19" s="26" t="s">
        <v>296</v>
      </c>
      <c r="B19" s="49" t="s">
        <v>291</v>
      </c>
      <c r="C19" s="49" t="s">
        <v>293</v>
      </c>
      <c r="D19" s="49" t="s">
        <v>297</v>
      </c>
      <c r="E19" s="49"/>
      <c r="F19" s="50">
        <v>8175148.0999999996</v>
      </c>
      <c r="G19" s="50">
        <v>7119360</v>
      </c>
      <c r="H19" s="50">
        <v>7119360</v>
      </c>
    </row>
    <row r="20" spans="1:8" ht="75.75" x14ac:dyDescent="0.25">
      <c r="A20" s="26" t="s">
        <v>193</v>
      </c>
      <c r="B20" s="49" t="s">
        <v>291</v>
      </c>
      <c r="C20" s="49" t="s">
        <v>293</v>
      </c>
      <c r="D20" s="49" t="s">
        <v>297</v>
      </c>
      <c r="E20" s="49" t="s">
        <v>222</v>
      </c>
      <c r="F20" s="79">
        <v>8175148.0999999996</v>
      </c>
      <c r="G20" s="79">
        <v>7119360</v>
      </c>
      <c r="H20" s="79">
        <v>7119360</v>
      </c>
    </row>
    <row r="21" spans="1:8" s="78" customFormat="1" ht="63" x14ac:dyDescent="0.25">
      <c r="A21" s="30" t="s">
        <v>300</v>
      </c>
      <c r="B21" s="47" t="s">
        <v>291</v>
      </c>
      <c r="C21" s="47" t="s">
        <v>301</v>
      </c>
      <c r="D21" s="47"/>
      <c r="E21" s="47"/>
      <c r="F21" s="48">
        <v>3854672.66</v>
      </c>
      <c r="G21" s="48">
        <v>3952396.66</v>
      </c>
      <c r="H21" s="48">
        <v>3952396.66</v>
      </c>
    </row>
    <row r="22" spans="1:8" x14ac:dyDescent="0.25">
      <c r="A22" s="30" t="s">
        <v>294</v>
      </c>
      <c r="B22" s="47" t="s">
        <v>291</v>
      </c>
      <c r="C22" s="47" t="s">
        <v>301</v>
      </c>
      <c r="D22" s="47" t="s">
        <v>295</v>
      </c>
      <c r="E22" s="47"/>
      <c r="F22" s="48">
        <v>3854672.66</v>
      </c>
      <c r="G22" s="48">
        <v>3952396.66</v>
      </c>
      <c r="H22" s="48">
        <v>3952396.66</v>
      </c>
    </row>
    <row r="23" spans="1:8" ht="30.75" x14ac:dyDescent="0.25">
      <c r="A23" s="26" t="s">
        <v>296</v>
      </c>
      <c r="B23" s="49" t="s">
        <v>291</v>
      </c>
      <c r="C23" s="49" t="s">
        <v>301</v>
      </c>
      <c r="D23" s="49" t="s">
        <v>297</v>
      </c>
      <c r="E23" s="49"/>
      <c r="F23" s="50">
        <v>3854672.66</v>
      </c>
      <c r="G23" s="50">
        <v>3952396.66</v>
      </c>
      <c r="H23" s="50">
        <v>3952396.66</v>
      </c>
    </row>
    <row r="24" spans="1:8" ht="75.75" x14ac:dyDescent="0.25">
      <c r="A24" s="26" t="s">
        <v>193</v>
      </c>
      <c r="B24" s="49" t="s">
        <v>291</v>
      </c>
      <c r="C24" s="49" t="s">
        <v>301</v>
      </c>
      <c r="D24" s="49" t="s">
        <v>297</v>
      </c>
      <c r="E24" s="49" t="s">
        <v>222</v>
      </c>
      <c r="F24" s="50">
        <v>537510.66</v>
      </c>
      <c r="G24" s="50">
        <v>574034.66</v>
      </c>
      <c r="H24" s="50">
        <v>574034.66</v>
      </c>
    </row>
    <row r="25" spans="1:8" ht="30.75" x14ac:dyDescent="0.25">
      <c r="A25" s="26" t="s">
        <v>194</v>
      </c>
      <c r="B25" s="49" t="s">
        <v>291</v>
      </c>
      <c r="C25" s="49" t="s">
        <v>301</v>
      </c>
      <c r="D25" s="49" t="s">
        <v>297</v>
      </c>
      <c r="E25" s="49" t="s">
        <v>241</v>
      </c>
      <c r="F25" s="50">
        <v>3297162</v>
      </c>
      <c r="G25" s="50">
        <v>3358362</v>
      </c>
      <c r="H25" s="50">
        <v>3358362</v>
      </c>
    </row>
    <row r="26" spans="1:8" x14ac:dyDescent="0.25">
      <c r="A26" s="26" t="s">
        <v>196</v>
      </c>
      <c r="B26" s="49" t="s">
        <v>291</v>
      </c>
      <c r="C26" s="49" t="s">
        <v>301</v>
      </c>
      <c r="D26" s="49" t="s">
        <v>297</v>
      </c>
      <c r="E26" s="49" t="s">
        <v>223</v>
      </c>
      <c r="F26" s="50">
        <v>20000</v>
      </c>
      <c r="G26" s="50">
        <v>20000</v>
      </c>
      <c r="H26" s="50">
        <v>20000</v>
      </c>
    </row>
    <row r="27" spans="1:8" ht="63" x14ac:dyDescent="0.25">
      <c r="A27" s="52" t="s">
        <v>304</v>
      </c>
      <c r="B27" s="47" t="s">
        <v>291</v>
      </c>
      <c r="C27" s="47" t="s">
        <v>305</v>
      </c>
      <c r="D27" s="47"/>
      <c r="E27" s="47"/>
      <c r="F27" s="48">
        <v>71110942.560000002</v>
      </c>
      <c r="G27" s="48">
        <v>63299903.520000003</v>
      </c>
      <c r="H27" s="48">
        <v>63299903.520000003</v>
      </c>
    </row>
    <row r="28" spans="1:8" x14ac:dyDescent="0.25">
      <c r="A28" s="30" t="s">
        <v>294</v>
      </c>
      <c r="B28" s="47" t="s">
        <v>291</v>
      </c>
      <c r="C28" s="47" t="s">
        <v>305</v>
      </c>
      <c r="D28" s="47" t="s">
        <v>295</v>
      </c>
      <c r="E28" s="47"/>
      <c r="F28" s="48">
        <v>71110942.560000002</v>
      </c>
      <c r="G28" s="48">
        <v>63299903.520000003</v>
      </c>
      <c r="H28" s="48">
        <v>63299903.520000003</v>
      </c>
    </row>
    <row r="29" spans="1:8" ht="30.75" x14ac:dyDescent="0.25">
      <c r="A29" s="26" t="s">
        <v>296</v>
      </c>
      <c r="B29" s="49" t="s">
        <v>291</v>
      </c>
      <c r="C29" s="49" t="s">
        <v>305</v>
      </c>
      <c r="D29" s="49" t="s">
        <v>297</v>
      </c>
      <c r="E29" s="49"/>
      <c r="F29" s="50">
        <v>71110942.560000002</v>
      </c>
      <c r="G29" s="50">
        <v>63299903.520000003</v>
      </c>
      <c r="H29" s="50">
        <v>63299903.520000003</v>
      </c>
    </row>
    <row r="30" spans="1:8" ht="75.75" x14ac:dyDescent="0.25">
      <c r="A30" s="26" t="s">
        <v>193</v>
      </c>
      <c r="B30" s="49" t="s">
        <v>291</v>
      </c>
      <c r="C30" s="49" t="s">
        <v>305</v>
      </c>
      <c r="D30" s="49" t="s">
        <v>297</v>
      </c>
      <c r="E30" s="49" t="s">
        <v>222</v>
      </c>
      <c r="F30" s="50">
        <v>66098861.920000002</v>
      </c>
      <c r="G30" s="50">
        <v>56947557.520000003</v>
      </c>
      <c r="H30" s="50">
        <v>56947557.520000003</v>
      </c>
    </row>
    <row r="31" spans="1:8" s="78" customFormat="1" ht="30.75" x14ac:dyDescent="0.25">
      <c r="A31" s="26" t="s">
        <v>194</v>
      </c>
      <c r="B31" s="49" t="s">
        <v>291</v>
      </c>
      <c r="C31" s="49" t="s">
        <v>305</v>
      </c>
      <c r="D31" s="49" t="s">
        <v>297</v>
      </c>
      <c r="E31" s="49" t="s">
        <v>241</v>
      </c>
      <c r="F31" s="50">
        <v>4858464.6399999997</v>
      </c>
      <c r="G31" s="50">
        <v>6198730</v>
      </c>
      <c r="H31" s="50">
        <v>6198730</v>
      </c>
    </row>
    <row r="32" spans="1:8" s="78" customFormat="1" x14ac:dyDescent="0.25">
      <c r="A32" s="26" t="s">
        <v>195</v>
      </c>
      <c r="B32" s="49" t="s">
        <v>291</v>
      </c>
      <c r="C32" s="49" t="s">
        <v>305</v>
      </c>
      <c r="D32" s="49" t="s">
        <v>297</v>
      </c>
      <c r="E32" s="49" t="s">
        <v>246</v>
      </c>
      <c r="F32" s="50">
        <v>0</v>
      </c>
      <c r="G32" s="50">
        <v>0</v>
      </c>
      <c r="H32" s="50">
        <v>0</v>
      </c>
    </row>
    <row r="33" spans="1:8" s="78" customFormat="1" x14ac:dyDescent="0.25">
      <c r="A33" s="26" t="s">
        <v>196</v>
      </c>
      <c r="B33" s="49" t="s">
        <v>291</v>
      </c>
      <c r="C33" s="49" t="s">
        <v>305</v>
      </c>
      <c r="D33" s="49" t="s">
        <v>297</v>
      </c>
      <c r="E33" s="49" t="s">
        <v>223</v>
      </c>
      <c r="F33" s="50">
        <v>153616</v>
      </c>
      <c r="G33" s="50">
        <v>153616</v>
      </c>
      <c r="H33" s="50">
        <v>153616</v>
      </c>
    </row>
    <row r="34" spans="1:8" ht="47.25" x14ac:dyDescent="0.25">
      <c r="A34" s="30" t="s">
        <v>308</v>
      </c>
      <c r="B34" s="47" t="s">
        <v>291</v>
      </c>
      <c r="C34" s="47" t="s">
        <v>309</v>
      </c>
      <c r="D34" s="47"/>
      <c r="E34" s="47"/>
      <c r="F34" s="48">
        <v>45975617.810000002</v>
      </c>
      <c r="G34" s="48">
        <v>39410172.07</v>
      </c>
      <c r="H34" s="48">
        <v>39410172.07</v>
      </c>
    </row>
    <row r="35" spans="1:8" x14ac:dyDescent="0.25">
      <c r="A35" s="30" t="s">
        <v>294</v>
      </c>
      <c r="B35" s="47" t="s">
        <v>291</v>
      </c>
      <c r="C35" s="47" t="s">
        <v>309</v>
      </c>
      <c r="D35" s="47" t="s">
        <v>295</v>
      </c>
      <c r="E35" s="47"/>
      <c r="F35" s="48">
        <v>45975617.810000002</v>
      </c>
      <c r="G35" s="48">
        <v>39410172.07</v>
      </c>
      <c r="H35" s="48">
        <v>39410172.07</v>
      </c>
    </row>
    <row r="36" spans="1:8" ht="30.75" x14ac:dyDescent="0.25">
      <c r="A36" s="26" t="s">
        <v>296</v>
      </c>
      <c r="B36" s="49" t="s">
        <v>291</v>
      </c>
      <c r="C36" s="49" t="s">
        <v>309</v>
      </c>
      <c r="D36" s="49" t="s">
        <v>297</v>
      </c>
      <c r="E36" s="49"/>
      <c r="F36" s="50">
        <v>45975617.810000002</v>
      </c>
      <c r="G36" s="50">
        <v>39410172.07</v>
      </c>
      <c r="H36" s="50">
        <v>39410172.07</v>
      </c>
    </row>
    <row r="37" spans="1:8" ht="75.75" x14ac:dyDescent="0.25">
      <c r="A37" s="26" t="s">
        <v>193</v>
      </c>
      <c r="B37" s="49" t="s">
        <v>291</v>
      </c>
      <c r="C37" s="49" t="s">
        <v>309</v>
      </c>
      <c r="D37" s="49" t="s">
        <v>297</v>
      </c>
      <c r="E37" s="49" t="s">
        <v>222</v>
      </c>
      <c r="F37" s="50">
        <v>43104758.810000002</v>
      </c>
      <c r="G37" s="50">
        <v>36089672.07</v>
      </c>
      <c r="H37" s="50">
        <v>36089672.07</v>
      </c>
    </row>
    <row r="38" spans="1:8" ht="30.75" x14ac:dyDescent="0.25">
      <c r="A38" s="26" t="s">
        <v>194</v>
      </c>
      <c r="B38" s="49" t="s">
        <v>291</v>
      </c>
      <c r="C38" s="49" t="s">
        <v>309</v>
      </c>
      <c r="D38" s="49" t="s">
        <v>297</v>
      </c>
      <c r="E38" s="49" t="s">
        <v>241</v>
      </c>
      <c r="F38" s="50">
        <v>2870859</v>
      </c>
      <c r="G38" s="50">
        <v>3320500</v>
      </c>
      <c r="H38" s="50">
        <v>3320500</v>
      </c>
    </row>
    <row r="39" spans="1:8" x14ac:dyDescent="0.25">
      <c r="A39" s="26" t="s">
        <v>195</v>
      </c>
      <c r="B39" s="49" t="s">
        <v>291</v>
      </c>
      <c r="C39" s="49" t="s">
        <v>309</v>
      </c>
      <c r="D39" s="49" t="s">
        <v>297</v>
      </c>
      <c r="E39" s="49" t="s">
        <v>246</v>
      </c>
      <c r="F39" s="50">
        <v>0</v>
      </c>
      <c r="G39" s="50">
        <v>0</v>
      </c>
      <c r="H39" s="50">
        <v>0</v>
      </c>
    </row>
    <row r="40" spans="1:8" s="23" customFormat="1" ht="31.5" x14ac:dyDescent="0.25">
      <c r="A40" s="30" t="s">
        <v>383</v>
      </c>
      <c r="B40" s="47" t="s">
        <v>291</v>
      </c>
      <c r="C40" s="47" t="s">
        <v>345</v>
      </c>
      <c r="D40" s="47"/>
      <c r="E40" s="47"/>
      <c r="F40" s="48">
        <v>6970452</v>
      </c>
      <c r="G40" s="48">
        <v>0</v>
      </c>
      <c r="H40" s="48">
        <v>0</v>
      </c>
    </row>
    <row r="41" spans="1:8" s="23" customFormat="1" x14ac:dyDescent="0.25">
      <c r="A41" s="30" t="s">
        <v>294</v>
      </c>
      <c r="B41" s="47" t="s">
        <v>291</v>
      </c>
      <c r="C41" s="47" t="s">
        <v>345</v>
      </c>
      <c r="D41" s="47" t="s">
        <v>295</v>
      </c>
      <c r="E41" s="47"/>
      <c r="F41" s="48">
        <v>6970452</v>
      </c>
      <c r="G41" s="48">
        <v>0</v>
      </c>
      <c r="H41" s="48">
        <v>0</v>
      </c>
    </row>
    <row r="42" spans="1:8" x14ac:dyDescent="0.25">
      <c r="A42" s="26" t="s">
        <v>382</v>
      </c>
      <c r="B42" s="49" t="s">
        <v>291</v>
      </c>
      <c r="C42" s="49" t="s">
        <v>345</v>
      </c>
      <c r="D42" s="49" t="s">
        <v>381</v>
      </c>
      <c r="E42" s="49"/>
      <c r="F42" s="50">
        <v>6970452</v>
      </c>
      <c r="G42" s="50">
        <v>0</v>
      </c>
      <c r="H42" s="50">
        <v>0</v>
      </c>
    </row>
    <row r="43" spans="1:8" x14ac:dyDescent="0.25">
      <c r="A43" s="26" t="s">
        <v>196</v>
      </c>
      <c r="B43" s="49" t="s">
        <v>291</v>
      </c>
      <c r="C43" s="49" t="s">
        <v>345</v>
      </c>
      <c r="D43" s="49" t="s">
        <v>381</v>
      </c>
      <c r="E43" s="49" t="s">
        <v>223</v>
      </c>
      <c r="F43" s="50">
        <v>6970452</v>
      </c>
      <c r="G43" s="50">
        <v>0</v>
      </c>
      <c r="H43" s="50">
        <v>0</v>
      </c>
    </row>
    <row r="44" spans="1:8" x14ac:dyDescent="0.25">
      <c r="A44" s="30" t="s">
        <v>312</v>
      </c>
      <c r="B44" s="47" t="s">
        <v>291</v>
      </c>
      <c r="C44" s="47" t="s">
        <v>313</v>
      </c>
      <c r="D44" s="47"/>
      <c r="E44" s="47"/>
      <c r="F44" s="48">
        <f>F45</f>
        <v>20291093.75</v>
      </c>
      <c r="G44" s="48">
        <v>30000000</v>
      </c>
      <c r="H44" s="48">
        <v>30000000</v>
      </c>
    </row>
    <row r="45" spans="1:8" x14ac:dyDescent="0.25">
      <c r="A45" s="30" t="s">
        <v>294</v>
      </c>
      <c r="B45" s="47" t="s">
        <v>291</v>
      </c>
      <c r="C45" s="47" t="s">
        <v>313</v>
      </c>
      <c r="D45" s="47" t="s">
        <v>295</v>
      </c>
      <c r="E45" s="47"/>
      <c r="F45" s="48">
        <f>F46</f>
        <v>20291093.75</v>
      </c>
      <c r="G45" s="48">
        <v>30000000</v>
      </c>
      <c r="H45" s="48">
        <v>30000000</v>
      </c>
    </row>
    <row r="46" spans="1:8" x14ac:dyDescent="0.25">
      <c r="A46" s="26" t="s">
        <v>384</v>
      </c>
      <c r="B46" s="49" t="s">
        <v>291</v>
      </c>
      <c r="C46" s="49" t="s">
        <v>313</v>
      </c>
      <c r="D46" s="49" t="s">
        <v>315</v>
      </c>
      <c r="E46" s="49"/>
      <c r="F46" s="50">
        <f>F47</f>
        <v>20291093.75</v>
      </c>
      <c r="G46" s="50">
        <v>30000000</v>
      </c>
      <c r="H46" s="50">
        <v>30000000</v>
      </c>
    </row>
    <row r="47" spans="1:8" x14ac:dyDescent="0.25">
      <c r="A47" s="26" t="s">
        <v>196</v>
      </c>
      <c r="B47" s="49" t="s">
        <v>291</v>
      </c>
      <c r="C47" s="49" t="s">
        <v>313</v>
      </c>
      <c r="D47" s="49" t="s">
        <v>315</v>
      </c>
      <c r="E47" s="49" t="s">
        <v>223</v>
      </c>
      <c r="F47" s="50">
        <v>20291093.75</v>
      </c>
      <c r="G47" s="50">
        <v>30000000</v>
      </c>
      <c r="H47" s="50">
        <v>30000000</v>
      </c>
    </row>
    <row r="48" spans="1:8" s="23" customFormat="1" x14ac:dyDescent="0.25">
      <c r="A48" s="30" t="s">
        <v>318</v>
      </c>
      <c r="B48" s="47" t="s">
        <v>291</v>
      </c>
      <c r="C48" s="47" t="s">
        <v>319</v>
      </c>
      <c r="D48" s="47"/>
      <c r="E48" s="47"/>
      <c r="F48" s="48">
        <v>641658220.61000001</v>
      </c>
      <c r="G48" s="48">
        <v>472482842.31999999</v>
      </c>
      <c r="H48" s="48">
        <v>472482842.31999999</v>
      </c>
    </row>
    <row r="49" spans="1:13" ht="47.25" x14ac:dyDescent="0.25">
      <c r="A49" s="30" t="s">
        <v>249</v>
      </c>
      <c r="B49" s="47" t="s">
        <v>291</v>
      </c>
      <c r="C49" s="47" t="s">
        <v>319</v>
      </c>
      <c r="D49" s="47" t="s">
        <v>250</v>
      </c>
      <c r="E49" s="47"/>
      <c r="F49" s="48">
        <v>10018138.439999999</v>
      </c>
      <c r="G49" s="48">
        <v>9735155</v>
      </c>
      <c r="H49" s="48">
        <v>9735155</v>
      </c>
    </row>
    <row r="50" spans="1:13" ht="30.75" x14ac:dyDescent="0.25">
      <c r="A50" s="26" t="s">
        <v>251</v>
      </c>
      <c r="B50" s="49" t="s">
        <v>291</v>
      </c>
      <c r="C50" s="49" t="s">
        <v>319</v>
      </c>
      <c r="D50" s="49" t="s">
        <v>252</v>
      </c>
      <c r="E50" s="49"/>
      <c r="F50" s="50">
        <v>10018138.439999999</v>
      </c>
      <c r="G50" s="50">
        <v>9735155</v>
      </c>
      <c r="H50" s="50">
        <v>9735155</v>
      </c>
    </row>
    <row r="51" spans="1:13" ht="30.75" x14ac:dyDescent="0.25">
      <c r="A51" s="26" t="s">
        <v>194</v>
      </c>
      <c r="B51" s="49" t="s">
        <v>291</v>
      </c>
      <c r="C51" s="49" t="s">
        <v>319</v>
      </c>
      <c r="D51" s="49" t="s">
        <v>252</v>
      </c>
      <c r="E51" s="49" t="s">
        <v>241</v>
      </c>
      <c r="F51" s="50">
        <v>10018138.439999999</v>
      </c>
      <c r="G51" s="50">
        <v>9735155</v>
      </c>
      <c r="H51" s="50">
        <v>9735155</v>
      </c>
    </row>
    <row r="52" spans="1:13" ht="31.5" x14ac:dyDescent="0.25">
      <c r="A52" s="30" t="s">
        <v>256</v>
      </c>
      <c r="B52" s="47" t="s">
        <v>291</v>
      </c>
      <c r="C52" s="47" t="s">
        <v>319</v>
      </c>
      <c r="D52" s="47" t="s">
        <v>257</v>
      </c>
      <c r="E52" s="47"/>
      <c r="F52" s="48">
        <v>79644558.199999988</v>
      </c>
      <c r="G52" s="48">
        <v>49068592.460000001</v>
      </c>
      <c r="H52" s="48">
        <v>49068592.460000001</v>
      </c>
    </row>
    <row r="53" spans="1:13" x14ac:dyDescent="0.25">
      <c r="A53" s="26" t="s">
        <v>191</v>
      </c>
      <c r="B53" s="49" t="s">
        <v>291</v>
      </c>
      <c r="C53" s="49" t="s">
        <v>319</v>
      </c>
      <c r="D53" s="49" t="s">
        <v>258</v>
      </c>
      <c r="E53" s="49"/>
      <c r="F53" s="50">
        <v>34739127.619999997</v>
      </c>
      <c r="G53" s="50">
        <v>33419089.289999999</v>
      </c>
      <c r="H53" s="50">
        <v>33419089.289999999</v>
      </c>
      <c r="M53" s="20"/>
    </row>
    <row r="54" spans="1:13" ht="75.75" x14ac:dyDescent="0.25">
      <c r="A54" s="26" t="s">
        <v>193</v>
      </c>
      <c r="B54" s="49" t="s">
        <v>291</v>
      </c>
      <c r="C54" s="49" t="s">
        <v>319</v>
      </c>
      <c r="D54" s="49" t="s">
        <v>258</v>
      </c>
      <c r="E54" s="49" t="s">
        <v>222</v>
      </c>
      <c r="F54" s="50">
        <v>32450934.109999999</v>
      </c>
      <c r="G54" s="50">
        <v>30799509</v>
      </c>
      <c r="H54" s="50">
        <v>30799509</v>
      </c>
    </row>
    <row r="55" spans="1:13" ht="30.75" x14ac:dyDescent="0.25">
      <c r="A55" s="26" t="s">
        <v>194</v>
      </c>
      <c r="B55" s="49" t="s">
        <v>291</v>
      </c>
      <c r="C55" s="49" t="s">
        <v>319</v>
      </c>
      <c r="D55" s="49" t="s">
        <v>258</v>
      </c>
      <c r="E55" s="49" t="s">
        <v>241</v>
      </c>
      <c r="F55" s="50">
        <v>2259852.83</v>
      </c>
      <c r="G55" s="50">
        <v>2614580.29</v>
      </c>
      <c r="H55" s="50">
        <v>2614580.29</v>
      </c>
    </row>
    <row r="56" spans="1:13" x14ac:dyDescent="0.25">
      <c r="A56" s="26" t="s">
        <v>195</v>
      </c>
      <c r="B56" s="49" t="s">
        <v>291</v>
      </c>
      <c r="C56" s="49" t="s">
        <v>319</v>
      </c>
      <c r="D56" s="49" t="s">
        <v>258</v>
      </c>
      <c r="E56" s="49" t="s">
        <v>246</v>
      </c>
      <c r="F56" s="50">
        <v>23340.68</v>
      </c>
      <c r="G56" s="50">
        <v>0</v>
      </c>
      <c r="H56" s="50">
        <v>0</v>
      </c>
    </row>
    <row r="57" spans="1:13" s="80" customFormat="1" x14ac:dyDescent="0.25">
      <c r="A57" s="26" t="s">
        <v>196</v>
      </c>
      <c r="B57" s="49" t="s">
        <v>291</v>
      </c>
      <c r="C57" s="49" t="s">
        <v>319</v>
      </c>
      <c r="D57" s="49" t="s">
        <v>258</v>
      </c>
      <c r="E57" s="49" t="s">
        <v>223</v>
      </c>
      <c r="F57" s="50">
        <v>5000</v>
      </c>
      <c r="G57" s="50">
        <v>5000</v>
      </c>
      <c r="H57" s="50">
        <v>5000</v>
      </c>
    </row>
    <row r="58" spans="1:13" s="80" customFormat="1" x14ac:dyDescent="0.25">
      <c r="A58" s="81" t="s">
        <v>259</v>
      </c>
      <c r="B58" s="47" t="s">
        <v>291</v>
      </c>
      <c r="C58" s="47" t="s">
        <v>319</v>
      </c>
      <c r="D58" s="47" t="s">
        <v>260</v>
      </c>
      <c r="E58" s="47"/>
      <c r="F58" s="48">
        <v>35851491.579999998</v>
      </c>
      <c r="G58" s="48">
        <v>12005877.25</v>
      </c>
      <c r="H58" s="48">
        <v>12005877.25</v>
      </c>
    </row>
    <row r="59" spans="1:13" s="80" customFormat="1" ht="30.75" x14ac:dyDescent="0.25">
      <c r="A59" s="26" t="s">
        <v>194</v>
      </c>
      <c r="B59" s="49" t="s">
        <v>291</v>
      </c>
      <c r="C59" s="49" t="s">
        <v>319</v>
      </c>
      <c r="D59" s="49" t="s">
        <v>260</v>
      </c>
      <c r="E59" s="49" t="s">
        <v>241</v>
      </c>
      <c r="F59" s="50">
        <v>15515922.57</v>
      </c>
      <c r="G59" s="50">
        <v>11995877.25</v>
      </c>
      <c r="H59" s="50">
        <v>11995877.25</v>
      </c>
    </row>
    <row r="60" spans="1:13" s="80" customFormat="1" ht="30.75" x14ac:dyDescent="0.25">
      <c r="A60" s="26" t="s">
        <v>261</v>
      </c>
      <c r="B60" s="49" t="s">
        <v>291</v>
      </c>
      <c r="C60" s="49" t="s">
        <v>319</v>
      </c>
      <c r="D60" s="49" t="s">
        <v>260</v>
      </c>
      <c r="E60" s="49" t="s">
        <v>255</v>
      </c>
      <c r="F60" s="50">
        <v>16325569.01</v>
      </c>
      <c r="G60" s="50">
        <v>0</v>
      </c>
      <c r="H60" s="50">
        <v>0</v>
      </c>
    </row>
    <row r="61" spans="1:13" s="80" customFormat="1" x14ac:dyDescent="0.25">
      <c r="A61" s="26" t="s">
        <v>196</v>
      </c>
      <c r="B61" s="49" t="s">
        <v>291</v>
      </c>
      <c r="C61" s="49" t="s">
        <v>319</v>
      </c>
      <c r="D61" s="49" t="s">
        <v>260</v>
      </c>
      <c r="E61" s="49" t="s">
        <v>223</v>
      </c>
      <c r="F61" s="50">
        <v>4010000</v>
      </c>
      <c r="G61" s="50">
        <v>10000</v>
      </c>
      <c r="H61" s="50">
        <v>10000</v>
      </c>
    </row>
    <row r="62" spans="1:13" s="80" customFormat="1" ht="31.5" x14ac:dyDescent="0.25">
      <c r="A62" s="27" t="s">
        <v>262</v>
      </c>
      <c r="B62" s="47" t="s">
        <v>291</v>
      </c>
      <c r="C62" s="47" t="s">
        <v>319</v>
      </c>
      <c r="D62" s="47" t="s">
        <v>263</v>
      </c>
      <c r="E62" s="47"/>
      <c r="F62" s="48">
        <v>9053939</v>
      </c>
      <c r="G62" s="48">
        <v>3643625.92</v>
      </c>
      <c r="H62" s="48">
        <v>3643625.92</v>
      </c>
    </row>
    <row r="63" spans="1:13" ht="30.75" x14ac:dyDescent="0.25">
      <c r="A63" s="26" t="s">
        <v>194</v>
      </c>
      <c r="B63" s="49" t="s">
        <v>291</v>
      </c>
      <c r="C63" s="49" t="s">
        <v>319</v>
      </c>
      <c r="D63" s="49" t="s">
        <v>263</v>
      </c>
      <c r="E63" s="49" t="s">
        <v>241</v>
      </c>
      <c r="F63" s="50">
        <v>9053939</v>
      </c>
      <c r="G63" s="50">
        <v>3643625.92</v>
      </c>
      <c r="H63" s="50">
        <v>3643625.92</v>
      </c>
    </row>
    <row r="64" spans="1:13" ht="30.75" x14ac:dyDescent="0.25">
      <c r="A64" s="26" t="s">
        <v>261</v>
      </c>
      <c r="B64" s="49" t="s">
        <v>291</v>
      </c>
      <c r="C64" s="49" t="s">
        <v>319</v>
      </c>
      <c r="D64" s="49" t="s">
        <v>263</v>
      </c>
      <c r="E64" s="49" t="s">
        <v>255</v>
      </c>
      <c r="F64" s="50">
        <v>0</v>
      </c>
      <c r="G64" s="50">
        <v>0</v>
      </c>
      <c r="H64" s="50">
        <v>0</v>
      </c>
    </row>
    <row r="65" spans="1:8" x14ac:dyDescent="0.25">
      <c r="A65" s="26" t="s">
        <v>196</v>
      </c>
      <c r="B65" s="49" t="s">
        <v>291</v>
      </c>
      <c r="C65" s="49" t="s">
        <v>319</v>
      </c>
      <c r="D65" s="49" t="s">
        <v>263</v>
      </c>
      <c r="E65" s="49" t="s">
        <v>223</v>
      </c>
      <c r="F65" s="50">
        <v>0</v>
      </c>
      <c r="G65" s="50">
        <v>0</v>
      </c>
      <c r="H65" s="50">
        <v>0</v>
      </c>
    </row>
    <row r="66" spans="1:8" x14ac:dyDescent="0.25">
      <c r="A66" s="30" t="s">
        <v>294</v>
      </c>
      <c r="B66" s="47" t="s">
        <v>291</v>
      </c>
      <c r="C66" s="47" t="s">
        <v>319</v>
      </c>
      <c r="D66" s="43">
        <v>9900000000</v>
      </c>
      <c r="E66" s="47"/>
      <c r="F66" s="48">
        <v>551995523.97000003</v>
      </c>
      <c r="G66" s="48">
        <v>413679094.86000001</v>
      </c>
      <c r="H66" s="48">
        <v>413679094.86000001</v>
      </c>
    </row>
    <row r="67" spans="1:8" ht="30.75" x14ac:dyDescent="0.25">
      <c r="A67" s="26" t="s">
        <v>296</v>
      </c>
      <c r="B67" s="49" t="s">
        <v>291</v>
      </c>
      <c r="C67" s="49" t="s">
        <v>319</v>
      </c>
      <c r="D67" s="40">
        <v>9910000000</v>
      </c>
      <c r="E67" s="49"/>
      <c r="F67" s="50">
        <v>446950562.29000002</v>
      </c>
      <c r="G67" s="50">
        <v>408093714.86000001</v>
      </c>
      <c r="H67" s="50">
        <v>408093714.86000001</v>
      </c>
    </row>
    <row r="68" spans="1:8" ht="75.75" x14ac:dyDescent="0.25">
      <c r="A68" s="26" t="s">
        <v>193</v>
      </c>
      <c r="B68" s="49" t="s">
        <v>291</v>
      </c>
      <c r="C68" s="49" t="s">
        <v>319</v>
      </c>
      <c r="D68" s="40">
        <v>9910000000</v>
      </c>
      <c r="E68" s="49" t="s">
        <v>222</v>
      </c>
      <c r="F68" s="50">
        <v>138264673.59999999</v>
      </c>
      <c r="G68" s="50">
        <v>131394775.41999999</v>
      </c>
      <c r="H68" s="50">
        <v>131394775.41999999</v>
      </c>
    </row>
    <row r="69" spans="1:8" ht="30.75" x14ac:dyDescent="0.25">
      <c r="A69" s="26" t="s">
        <v>194</v>
      </c>
      <c r="B69" s="49" t="s">
        <v>291</v>
      </c>
      <c r="C69" s="49" t="s">
        <v>319</v>
      </c>
      <c r="D69" s="40">
        <v>9910000000</v>
      </c>
      <c r="E69" s="49" t="s">
        <v>241</v>
      </c>
      <c r="F69" s="50">
        <v>16840793.620000001</v>
      </c>
      <c r="G69" s="50">
        <v>18789326.620000001</v>
      </c>
      <c r="H69" s="50">
        <v>18789326.620000001</v>
      </c>
    </row>
    <row r="70" spans="1:8" x14ac:dyDescent="0.25">
      <c r="A70" s="26" t="s">
        <v>195</v>
      </c>
      <c r="B70" s="49" t="s">
        <v>291</v>
      </c>
      <c r="C70" s="49" t="s">
        <v>319</v>
      </c>
      <c r="D70" s="40">
        <v>9910000000</v>
      </c>
      <c r="E70" s="49" t="s">
        <v>246</v>
      </c>
      <c r="F70" s="50">
        <v>3450.84</v>
      </c>
      <c r="G70" s="50">
        <v>0</v>
      </c>
      <c r="H70" s="50">
        <v>0</v>
      </c>
    </row>
    <row r="71" spans="1:8" ht="30.75" x14ac:dyDescent="0.25">
      <c r="A71" s="25" t="s">
        <v>201</v>
      </c>
      <c r="B71" s="49" t="s">
        <v>291</v>
      </c>
      <c r="C71" s="49" t="s">
        <v>319</v>
      </c>
      <c r="D71" s="40">
        <v>9910000000</v>
      </c>
      <c r="E71" s="49" t="s">
        <v>321</v>
      </c>
      <c r="F71" s="50">
        <v>290760354.23000002</v>
      </c>
      <c r="G71" s="50">
        <v>256831322.81999999</v>
      </c>
      <c r="H71" s="50">
        <v>256831322.81999999</v>
      </c>
    </row>
    <row r="72" spans="1:8" x14ac:dyDescent="0.25">
      <c r="A72" s="26" t="s">
        <v>196</v>
      </c>
      <c r="B72" s="49" t="s">
        <v>291</v>
      </c>
      <c r="C72" s="49" t="s">
        <v>319</v>
      </c>
      <c r="D72" s="40">
        <v>9910000000</v>
      </c>
      <c r="E72" s="49" t="s">
        <v>223</v>
      </c>
      <c r="F72" s="50">
        <v>1081290</v>
      </c>
      <c r="G72" s="50">
        <v>1078290</v>
      </c>
      <c r="H72" s="50">
        <v>1078290</v>
      </c>
    </row>
    <row r="73" spans="1:8" s="80" customFormat="1" x14ac:dyDescent="0.25">
      <c r="A73" s="26" t="s">
        <v>314</v>
      </c>
      <c r="B73" s="49" t="s">
        <v>291</v>
      </c>
      <c r="C73" s="49" t="s">
        <v>319</v>
      </c>
      <c r="D73" s="49" t="s">
        <v>315</v>
      </c>
      <c r="E73" s="49"/>
      <c r="F73" s="50">
        <v>105044961.68000001</v>
      </c>
      <c r="G73" s="50">
        <v>5585380</v>
      </c>
      <c r="H73" s="50">
        <v>5585380</v>
      </c>
    </row>
    <row r="74" spans="1:8" s="78" customFormat="1" ht="30.75" x14ac:dyDescent="0.25">
      <c r="A74" s="26" t="s">
        <v>194</v>
      </c>
      <c r="B74" s="49" t="s">
        <v>291</v>
      </c>
      <c r="C74" s="49" t="s">
        <v>319</v>
      </c>
      <c r="D74" s="49" t="s">
        <v>315</v>
      </c>
      <c r="E74" s="49" t="s">
        <v>241</v>
      </c>
      <c r="F74" s="50">
        <v>58627257.170000002</v>
      </c>
      <c r="G74" s="50">
        <v>5355500</v>
      </c>
      <c r="H74" s="50">
        <v>5355500</v>
      </c>
    </row>
    <row r="75" spans="1:8" s="80" customFormat="1" x14ac:dyDescent="0.25">
      <c r="A75" s="26" t="s">
        <v>195</v>
      </c>
      <c r="B75" s="49" t="s">
        <v>291</v>
      </c>
      <c r="C75" s="49" t="s">
        <v>319</v>
      </c>
      <c r="D75" s="49" t="s">
        <v>315</v>
      </c>
      <c r="E75" s="49" t="s">
        <v>246</v>
      </c>
      <c r="F75" s="50">
        <v>3265744.5</v>
      </c>
      <c r="G75" s="50">
        <v>229880</v>
      </c>
      <c r="H75" s="50">
        <v>229880</v>
      </c>
    </row>
    <row r="76" spans="1:8" s="80" customFormat="1" ht="30.75" x14ac:dyDescent="0.25">
      <c r="A76" s="25" t="s">
        <v>201</v>
      </c>
      <c r="B76" s="49" t="s">
        <v>291</v>
      </c>
      <c r="C76" s="49" t="s">
        <v>319</v>
      </c>
      <c r="D76" s="49" t="s">
        <v>315</v>
      </c>
      <c r="E76" s="49" t="s">
        <v>321</v>
      </c>
      <c r="F76" s="50">
        <v>14418402.719999999</v>
      </c>
      <c r="G76" s="50">
        <v>0</v>
      </c>
      <c r="H76" s="50">
        <v>0</v>
      </c>
    </row>
    <row r="77" spans="1:8" s="80" customFormat="1" x14ac:dyDescent="0.25">
      <c r="A77" s="26" t="s">
        <v>196</v>
      </c>
      <c r="B77" s="49" t="s">
        <v>291</v>
      </c>
      <c r="C77" s="49" t="s">
        <v>319</v>
      </c>
      <c r="D77" s="49" t="s">
        <v>315</v>
      </c>
      <c r="E77" s="49" t="s">
        <v>223</v>
      </c>
      <c r="F77" s="50">
        <v>28733557.289999999</v>
      </c>
      <c r="G77" s="50">
        <v>0</v>
      </c>
      <c r="H77" s="50">
        <v>0</v>
      </c>
    </row>
    <row r="78" spans="1:8" s="82" customFormat="1" x14ac:dyDescent="0.25">
      <c r="A78" s="28" t="s">
        <v>557</v>
      </c>
      <c r="B78" s="47" t="s">
        <v>293</v>
      </c>
      <c r="C78" s="47"/>
      <c r="D78" s="47"/>
      <c r="E78" s="47"/>
      <c r="F78" s="48">
        <f>F79</f>
        <v>15000000</v>
      </c>
      <c r="G78" s="48">
        <f t="shared" ref="G78:H81" si="0">G79</f>
        <v>0</v>
      </c>
      <c r="H78" s="48">
        <f t="shared" si="0"/>
        <v>0</v>
      </c>
    </row>
    <row r="79" spans="1:8" s="82" customFormat="1" x14ac:dyDescent="0.25">
      <c r="A79" s="28" t="s">
        <v>558</v>
      </c>
      <c r="B79" s="47" t="s">
        <v>293</v>
      </c>
      <c r="C79" s="47" t="s">
        <v>301</v>
      </c>
      <c r="D79" s="47"/>
      <c r="E79" s="47"/>
      <c r="F79" s="48">
        <f>F80</f>
        <v>15000000</v>
      </c>
      <c r="G79" s="48">
        <f t="shared" si="0"/>
        <v>0</v>
      </c>
      <c r="H79" s="48">
        <f t="shared" si="0"/>
        <v>0</v>
      </c>
    </row>
    <row r="80" spans="1:8" s="82" customFormat="1" x14ac:dyDescent="0.25">
      <c r="A80" s="28" t="s">
        <v>294</v>
      </c>
      <c r="B80" s="47" t="s">
        <v>293</v>
      </c>
      <c r="C80" s="47" t="s">
        <v>301</v>
      </c>
      <c r="D80" s="43">
        <v>9900000000</v>
      </c>
      <c r="E80" s="47"/>
      <c r="F80" s="48">
        <f>F81</f>
        <v>15000000</v>
      </c>
      <c r="G80" s="48">
        <f t="shared" si="0"/>
        <v>0</v>
      </c>
      <c r="H80" s="48">
        <f t="shared" si="0"/>
        <v>0</v>
      </c>
    </row>
    <row r="81" spans="1:8" s="80" customFormat="1" x14ac:dyDescent="0.25">
      <c r="A81" s="26" t="s">
        <v>314</v>
      </c>
      <c r="B81" s="49" t="s">
        <v>293</v>
      </c>
      <c r="C81" s="49" t="s">
        <v>301</v>
      </c>
      <c r="D81" s="40">
        <v>9950000000</v>
      </c>
      <c r="E81" s="49"/>
      <c r="F81" s="50">
        <f>F82</f>
        <v>15000000</v>
      </c>
      <c r="G81" s="50">
        <f t="shared" si="0"/>
        <v>0</v>
      </c>
      <c r="H81" s="50">
        <f t="shared" si="0"/>
        <v>0</v>
      </c>
    </row>
    <row r="82" spans="1:8" s="80" customFormat="1" ht="30.75" x14ac:dyDescent="0.25">
      <c r="A82" s="26" t="s">
        <v>194</v>
      </c>
      <c r="B82" s="49" t="s">
        <v>293</v>
      </c>
      <c r="C82" s="49" t="s">
        <v>301</v>
      </c>
      <c r="D82" s="40">
        <v>9950000000</v>
      </c>
      <c r="E82" s="49" t="s">
        <v>241</v>
      </c>
      <c r="F82" s="50">
        <v>15000000</v>
      </c>
      <c r="G82" s="50">
        <v>0</v>
      </c>
      <c r="H82" s="50">
        <v>0</v>
      </c>
    </row>
    <row r="83" spans="1:8" s="82" customFormat="1" ht="31.5" x14ac:dyDescent="0.25">
      <c r="A83" s="30" t="s">
        <v>326</v>
      </c>
      <c r="B83" s="47" t="s">
        <v>301</v>
      </c>
      <c r="C83" s="47"/>
      <c r="D83" s="47"/>
      <c r="E83" s="47"/>
      <c r="F83" s="48">
        <v>15019222.91</v>
      </c>
      <c r="G83" s="48">
        <v>14655349</v>
      </c>
      <c r="H83" s="48">
        <v>14655349</v>
      </c>
    </row>
    <row r="84" spans="1:8" s="82" customFormat="1" ht="63" x14ac:dyDescent="0.25">
      <c r="A84" s="30" t="s">
        <v>327</v>
      </c>
      <c r="B84" s="47" t="s">
        <v>301</v>
      </c>
      <c r="C84" s="47" t="s">
        <v>328</v>
      </c>
      <c r="D84" s="47"/>
      <c r="E84" s="47"/>
      <c r="F84" s="48">
        <v>15019222.91</v>
      </c>
      <c r="G84" s="48">
        <v>14655349</v>
      </c>
      <c r="H84" s="48">
        <v>14655349</v>
      </c>
    </row>
    <row r="85" spans="1:8" s="80" customFormat="1" x14ac:dyDescent="0.25">
      <c r="A85" s="28" t="s">
        <v>294</v>
      </c>
      <c r="B85" s="47" t="s">
        <v>301</v>
      </c>
      <c r="C85" s="47" t="s">
        <v>328</v>
      </c>
      <c r="D85" s="43">
        <v>9900000000</v>
      </c>
      <c r="E85" s="43"/>
      <c r="F85" s="48">
        <v>15019222.91</v>
      </c>
      <c r="G85" s="48">
        <v>14655349</v>
      </c>
      <c r="H85" s="48">
        <v>14655349</v>
      </c>
    </row>
    <row r="86" spans="1:8" s="80" customFormat="1" ht="30.75" x14ac:dyDescent="0.25">
      <c r="A86" s="26" t="s">
        <v>296</v>
      </c>
      <c r="B86" s="49" t="s">
        <v>301</v>
      </c>
      <c r="C86" s="49" t="s">
        <v>328</v>
      </c>
      <c r="D86" s="40">
        <v>9910000000</v>
      </c>
      <c r="E86" s="40"/>
      <c r="F86" s="50">
        <v>14019222.91</v>
      </c>
      <c r="G86" s="50">
        <v>13155349</v>
      </c>
      <c r="H86" s="50">
        <v>13155349</v>
      </c>
    </row>
    <row r="87" spans="1:8" s="80" customFormat="1" ht="75.75" x14ac:dyDescent="0.25">
      <c r="A87" s="26" t="s">
        <v>193</v>
      </c>
      <c r="B87" s="49" t="s">
        <v>301</v>
      </c>
      <c r="C87" s="49" t="s">
        <v>328</v>
      </c>
      <c r="D87" s="40">
        <v>9910000000</v>
      </c>
      <c r="E87" s="49" t="s">
        <v>222</v>
      </c>
      <c r="F87" s="50">
        <v>10643176.91</v>
      </c>
      <c r="G87" s="50">
        <v>9415554</v>
      </c>
      <c r="H87" s="50">
        <v>9415554</v>
      </c>
    </row>
    <row r="88" spans="1:8" s="80" customFormat="1" ht="30.75" x14ac:dyDescent="0.25">
      <c r="A88" s="26" t="s">
        <v>194</v>
      </c>
      <c r="B88" s="49" t="s">
        <v>301</v>
      </c>
      <c r="C88" s="49" t="s">
        <v>328</v>
      </c>
      <c r="D88" s="40">
        <v>9910000000</v>
      </c>
      <c r="E88" s="49" t="s">
        <v>241</v>
      </c>
      <c r="F88" s="50">
        <v>3374966</v>
      </c>
      <c r="G88" s="50">
        <v>3738715</v>
      </c>
      <c r="H88" s="50">
        <v>3738715</v>
      </c>
    </row>
    <row r="89" spans="1:8" s="80" customFormat="1" x14ac:dyDescent="0.25">
      <c r="A89" s="26" t="s">
        <v>196</v>
      </c>
      <c r="B89" s="49" t="s">
        <v>301</v>
      </c>
      <c r="C89" s="49" t="s">
        <v>328</v>
      </c>
      <c r="D89" s="40">
        <v>9910000000</v>
      </c>
      <c r="E89" s="40">
        <v>800</v>
      </c>
      <c r="F89" s="50">
        <v>1080</v>
      </c>
      <c r="G89" s="50">
        <v>1080</v>
      </c>
      <c r="H89" s="50">
        <v>1080</v>
      </c>
    </row>
    <row r="90" spans="1:8" s="80" customFormat="1" x14ac:dyDescent="0.25">
      <c r="A90" s="26" t="s">
        <v>314</v>
      </c>
      <c r="B90" s="49" t="s">
        <v>301</v>
      </c>
      <c r="C90" s="49" t="s">
        <v>328</v>
      </c>
      <c r="D90" s="40">
        <v>9950000000</v>
      </c>
      <c r="E90" s="40"/>
      <c r="F90" s="50">
        <v>1000000</v>
      </c>
      <c r="G90" s="50">
        <v>1500000</v>
      </c>
      <c r="H90" s="50">
        <v>1500000</v>
      </c>
    </row>
    <row r="91" spans="1:8" s="80" customFormat="1" ht="30.75" x14ac:dyDescent="0.25">
      <c r="A91" s="26" t="s">
        <v>194</v>
      </c>
      <c r="B91" s="49" t="s">
        <v>301</v>
      </c>
      <c r="C91" s="49" t="s">
        <v>328</v>
      </c>
      <c r="D91" s="40">
        <v>9950000000</v>
      </c>
      <c r="E91" s="40">
        <v>200</v>
      </c>
      <c r="F91" s="50">
        <v>1000000</v>
      </c>
      <c r="G91" s="50">
        <v>1500000</v>
      </c>
      <c r="H91" s="50">
        <v>1500000</v>
      </c>
    </row>
    <row r="92" spans="1:8" s="82" customFormat="1" x14ac:dyDescent="0.25">
      <c r="A92" s="30" t="s">
        <v>331</v>
      </c>
      <c r="B92" s="47" t="s">
        <v>305</v>
      </c>
      <c r="C92" s="47"/>
      <c r="D92" s="47"/>
      <c r="E92" s="47"/>
      <c r="F92" s="48">
        <v>292879660.90999997</v>
      </c>
      <c r="G92" s="48">
        <v>104772258.22</v>
      </c>
      <c r="H92" s="48">
        <v>105663739.58</v>
      </c>
    </row>
    <row r="93" spans="1:8" s="82" customFormat="1" x14ac:dyDescent="0.25">
      <c r="A93" s="30" t="s">
        <v>332</v>
      </c>
      <c r="B93" s="47" t="s">
        <v>305</v>
      </c>
      <c r="C93" s="47" t="s">
        <v>291</v>
      </c>
      <c r="D93" s="47"/>
      <c r="E93" s="47"/>
      <c r="F93" s="48">
        <v>305784.54999999993</v>
      </c>
      <c r="G93" s="48">
        <v>847554.33</v>
      </c>
      <c r="H93" s="48">
        <v>847554.33</v>
      </c>
    </row>
    <row r="94" spans="1:8" s="82" customFormat="1" x14ac:dyDescent="0.25">
      <c r="A94" s="30" t="s">
        <v>294</v>
      </c>
      <c r="B94" s="47" t="s">
        <v>305</v>
      </c>
      <c r="C94" s="47" t="s">
        <v>291</v>
      </c>
      <c r="D94" s="47">
        <v>9900000000</v>
      </c>
      <c r="E94" s="47"/>
      <c r="F94" s="48">
        <v>305784.54999999993</v>
      </c>
      <c r="G94" s="48">
        <v>847554.33</v>
      </c>
      <c r="H94" s="48">
        <v>847554.33</v>
      </c>
    </row>
    <row r="95" spans="1:8" s="82" customFormat="1" ht="30.75" x14ac:dyDescent="0.25">
      <c r="A95" s="26" t="s">
        <v>296</v>
      </c>
      <c r="B95" s="49" t="s">
        <v>305</v>
      </c>
      <c r="C95" s="49" t="s">
        <v>291</v>
      </c>
      <c r="D95" s="49" t="s">
        <v>297</v>
      </c>
      <c r="E95" s="49"/>
      <c r="F95" s="50">
        <v>305784.54999999993</v>
      </c>
      <c r="G95" s="50">
        <v>847554.33</v>
      </c>
      <c r="H95" s="50">
        <v>847554.33</v>
      </c>
    </row>
    <row r="96" spans="1:8" s="82" customFormat="1" ht="75.75" x14ac:dyDescent="0.25">
      <c r="A96" s="26" t="s">
        <v>193</v>
      </c>
      <c r="B96" s="49" t="s">
        <v>305</v>
      </c>
      <c r="C96" s="49" t="s">
        <v>291</v>
      </c>
      <c r="D96" s="49" t="s">
        <v>297</v>
      </c>
      <c r="E96" s="49" t="s">
        <v>222</v>
      </c>
      <c r="F96" s="50">
        <v>305784.54999999993</v>
      </c>
      <c r="G96" s="50">
        <v>847554.33</v>
      </c>
      <c r="H96" s="50">
        <v>847554.33</v>
      </c>
    </row>
    <row r="97" spans="1:8" s="82" customFormat="1" x14ac:dyDescent="0.25">
      <c r="A97" s="30" t="s">
        <v>333</v>
      </c>
      <c r="B97" s="47" t="s">
        <v>305</v>
      </c>
      <c r="C97" s="47" t="s">
        <v>334</v>
      </c>
      <c r="D97" s="47"/>
      <c r="E97" s="47"/>
      <c r="F97" s="48">
        <v>123028447.82999998</v>
      </c>
      <c r="G97" s="48">
        <v>66602509.390000001</v>
      </c>
      <c r="H97" s="48">
        <v>67493990.75</v>
      </c>
    </row>
    <row r="98" spans="1:8" s="82" customFormat="1" ht="63" x14ac:dyDescent="0.25">
      <c r="A98" s="30" t="s">
        <v>218</v>
      </c>
      <c r="B98" s="47" t="s">
        <v>305</v>
      </c>
      <c r="C98" s="47" t="s">
        <v>334</v>
      </c>
      <c r="D98" s="47" t="s">
        <v>219</v>
      </c>
      <c r="E98" s="47"/>
      <c r="F98" s="48">
        <v>99205561.61999999</v>
      </c>
      <c r="G98" s="48">
        <v>61634121.07</v>
      </c>
      <c r="H98" s="48">
        <v>62525602.43</v>
      </c>
    </row>
    <row r="99" spans="1:8" s="82" customFormat="1" x14ac:dyDescent="0.25">
      <c r="A99" s="26" t="s">
        <v>220</v>
      </c>
      <c r="B99" s="49" t="s">
        <v>305</v>
      </c>
      <c r="C99" s="49" t="s">
        <v>334</v>
      </c>
      <c r="D99" s="49" t="s">
        <v>221</v>
      </c>
      <c r="E99" s="49"/>
      <c r="F99" s="50">
        <v>1907618.8499999999</v>
      </c>
      <c r="G99" s="50">
        <v>2491566.61</v>
      </c>
      <c r="H99" s="50">
        <v>2491566.61</v>
      </c>
    </row>
    <row r="100" spans="1:8" s="82" customFormat="1" ht="75.75" x14ac:dyDescent="0.25">
      <c r="A100" s="26" t="s">
        <v>193</v>
      </c>
      <c r="B100" s="49" t="s">
        <v>305</v>
      </c>
      <c r="C100" s="49" t="s">
        <v>334</v>
      </c>
      <c r="D100" s="49" t="s">
        <v>221</v>
      </c>
      <c r="E100" s="49" t="s">
        <v>222</v>
      </c>
      <c r="F100" s="50">
        <v>711398.65999999992</v>
      </c>
      <c r="G100" s="50">
        <v>1295346.42</v>
      </c>
      <c r="H100" s="50">
        <v>1295346.42</v>
      </c>
    </row>
    <row r="101" spans="1:8" s="82" customFormat="1" ht="30.75" x14ac:dyDescent="0.25">
      <c r="A101" s="25" t="s">
        <v>194</v>
      </c>
      <c r="B101" s="49" t="s">
        <v>305</v>
      </c>
      <c r="C101" s="49" t="s">
        <v>334</v>
      </c>
      <c r="D101" s="49" t="s">
        <v>221</v>
      </c>
      <c r="E101" s="67">
        <v>200</v>
      </c>
      <c r="F101" s="50">
        <v>1196220.19</v>
      </c>
      <c r="G101" s="50">
        <v>1196220.19</v>
      </c>
      <c r="H101" s="50">
        <v>1196220.19</v>
      </c>
    </row>
    <row r="102" spans="1:8" s="82" customFormat="1" ht="30.75" x14ac:dyDescent="0.25">
      <c r="A102" s="25" t="s">
        <v>285</v>
      </c>
      <c r="B102" s="49" t="s">
        <v>305</v>
      </c>
      <c r="C102" s="49" t="s">
        <v>334</v>
      </c>
      <c r="D102" s="49" t="s">
        <v>284</v>
      </c>
      <c r="E102" s="67"/>
      <c r="F102" s="50">
        <v>97297942.769999996</v>
      </c>
      <c r="G102" s="50">
        <v>59142554.460000001</v>
      </c>
      <c r="H102" s="50">
        <v>60034035.82</v>
      </c>
    </row>
    <row r="103" spans="1:8" s="82" customFormat="1" x14ac:dyDescent="0.25">
      <c r="A103" s="25" t="s">
        <v>196</v>
      </c>
      <c r="B103" s="49" t="s">
        <v>305</v>
      </c>
      <c r="C103" s="49" t="s">
        <v>334</v>
      </c>
      <c r="D103" s="49" t="s">
        <v>284</v>
      </c>
      <c r="E103" s="67">
        <v>800</v>
      </c>
      <c r="F103" s="50">
        <v>97297942.769999996</v>
      </c>
      <c r="G103" s="50">
        <v>59142554.460000001</v>
      </c>
      <c r="H103" s="50">
        <v>60034035.82</v>
      </c>
    </row>
    <row r="104" spans="1:8" s="82" customFormat="1" x14ac:dyDescent="0.25">
      <c r="A104" s="28" t="s">
        <v>294</v>
      </c>
      <c r="B104" s="47" t="s">
        <v>305</v>
      </c>
      <c r="C104" s="47" t="s">
        <v>334</v>
      </c>
      <c r="D104" s="47">
        <v>9900000000</v>
      </c>
      <c r="E104" s="40"/>
      <c r="F104" s="50">
        <v>23822886.210000001</v>
      </c>
      <c r="G104" s="50">
        <v>4968388.32</v>
      </c>
      <c r="H104" s="50">
        <v>4968388.32</v>
      </c>
    </row>
    <row r="105" spans="1:8" s="82" customFormat="1" ht="30.75" x14ac:dyDescent="0.25">
      <c r="A105" s="26" t="s">
        <v>296</v>
      </c>
      <c r="B105" s="49" t="s">
        <v>305</v>
      </c>
      <c r="C105" s="49" t="s">
        <v>334</v>
      </c>
      <c r="D105" s="49">
        <v>9910000000</v>
      </c>
      <c r="E105" s="40"/>
      <c r="F105" s="50">
        <v>5343610.99</v>
      </c>
      <c r="G105" s="50">
        <v>4968388.32</v>
      </c>
      <c r="H105" s="50">
        <v>4968388.32</v>
      </c>
    </row>
    <row r="106" spans="1:8" s="82" customFormat="1" ht="75.75" x14ac:dyDescent="0.25">
      <c r="A106" s="25" t="s">
        <v>193</v>
      </c>
      <c r="B106" s="49" t="s">
        <v>305</v>
      </c>
      <c r="C106" s="49" t="s">
        <v>334</v>
      </c>
      <c r="D106" s="49">
        <v>9910000000</v>
      </c>
      <c r="E106" s="40" t="s">
        <v>222</v>
      </c>
      <c r="F106" s="50">
        <v>5343610.99</v>
      </c>
      <c r="G106" s="50">
        <v>4968388.32</v>
      </c>
      <c r="H106" s="50">
        <v>4968388.32</v>
      </c>
    </row>
    <row r="107" spans="1:8" s="82" customFormat="1" x14ac:dyDescent="0.25">
      <c r="A107" s="26" t="s">
        <v>314</v>
      </c>
      <c r="B107" s="49" t="s">
        <v>305</v>
      </c>
      <c r="C107" s="49" t="s">
        <v>334</v>
      </c>
      <c r="D107" s="54" t="s">
        <v>315</v>
      </c>
      <c r="E107" s="40"/>
      <c r="F107" s="50">
        <v>18479275.219999999</v>
      </c>
      <c r="G107" s="50">
        <v>0</v>
      </c>
      <c r="H107" s="50">
        <v>0</v>
      </c>
    </row>
    <row r="108" spans="1:8" s="82" customFormat="1" x14ac:dyDescent="0.25">
      <c r="A108" s="26" t="s">
        <v>195</v>
      </c>
      <c r="B108" s="49" t="s">
        <v>305</v>
      </c>
      <c r="C108" s="49" t="s">
        <v>334</v>
      </c>
      <c r="D108" s="54" t="s">
        <v>315</v>
      </c>
      <c r="E108" s="40">
        <v>300</v>
      </c>
      <c r="F108" s="50">
        <v>460000</v>
      </c>
      <c r="G108" s="50">
        <v>0</v>
      </c>
      <c r="H108" s="50">
        <v>0</v>
      </c>
    </row>
    <row r="109" spans="1:8" s="82" customFormat="1" x14ac:dyDescent="0.25">
      <c r="A109" s="25" t="s">
        <v>196</v>
      </c>
      <c r="B109" s="49" t="s">
        <v>305</v>
      </c>
      <c r="C109" s="49" t="s">
        <v>334</v>
      </c>
      <c r="D109" s="54" t="s">
        <v>315</v>
      </c>
      <c r="E109" s="40">
        <v>800</v>
      </c>
      <c r="F109" s="50">
        <v>18019275.219999999</v>
      </c>
      <c r="G109" s="50">
        <v>0</v>
      </c>
      <c r="H109" s="50">
        <v>0</v>
      </c>
    </row>
    <row r="110" spans="1:8" s="82" customFormat="1" x14ac:dyDescent="0.25">
      <c r="A110" s="28" t="s">
        <v>385</v>
      </c>
      <c r="B110" s="47" t="s">
        <v>305</v>
      </c>
      <c r="C110" s="47" t="s">
        <v>352</v>
      </c>
      <c r="D110" s="43"/>
      <c r="E110" s="43"/>
      <c r="F110" s="48">
        <v>19720000</v>
      </c>
      <c r="G110" s="48">
        <v>17150000</v>
      </c>
      <c r="H110" s="48">
        <v>17150000</v>
      </c>
    </row>
    <row r="111" spans="1:8" s="82" customFormat="1" ht="31.5" x14ac:dyDescent="0.25">
      <c r="A111" s="28" t="s">
        <v>224</v>
      </c>
      <c r="B111" s="47" t="s">
        <v>305</v>
      </c>
      <c r="C111" s="47" t="s">
        <v>352</v>
      </c>
      <c r="D111" s="83" t="s">
        <v>225</v>
      </c>
      <c r="E111" s="43"/>
      <c r="F111" s="48">
        <v>19720000</v>
      </c>
      <c r="G111" s="48">
        <v>17150000</v>
      </c>
      <c r="H111" s="48">
        <v>17150000</v>
      </c>
    </row>
    <row r="112" spans="1:8" s="82" customFormat="1" x14ac:dyDescent="0.25">
      <c r="A112" s="25" t="s">
        <v>226</v>
      </c>
      <c r="B112" s="49" t="s">
        <v>305</v>
      </c>
      <c r="C112" s="49" t="s">
        <v>352</v>
      </c>
      <c r="D112" s="84" t="s">
        <v>227</v>
      </c>
      <c r="E112" s="40"/>
      <c r="F112" s="50">
        <v>2000000</v>
      </c>
      <c r="G112" s="50">
        <v>4000000</v>
      </c>
      <c r="H112" s="50">
        <v>4000000</v>
      </c>
    </row>
    <row r="113" spans="1:10" s="82" customFormat="1" ht="30.75" x14ac:dyDescent="0.25">
      <c r="A113" s="26" t="s">
        <v>194</v>
      </c>
      <c r="B113" s="49" t="s">
        <v>305</v>
      </c>
      <c r="C113" s="49" t="s">
        <v>352</v>
      </c>
      <c r="D113" s="84" t="s">
        <v>227</v>
      </c>
      <c r="E113" s="40">
        <v>800</v>
      </c>
      <c r="F113" s="50">
        <v>2000000</v>
      </c>
      <c r="G113" s="50">
        <v>4000000</v>
      </c>
      <c r="H113" s="50">
        <v>4000000</v>
      </c>
    </row>
    <row r="114" spans="1:10" s="82" customFormat="1" x14ac:dyDescent="0.25">
      <c r="A114" s="25" t="s">
        <v>228</v>
      </c>
      <c r="B114" s="49" t="s">
        <v>305</v>
      </c>
      <c r="C114" s="49" t="s">
        <v>352</v>
      </c>
      <c r="D114" s="84" t="s">
        <v>229</v>
      </c>
      <c r="E114" s="40"/>
      <c r="F114" s="50">
        <v>17720000</v>
      </c>
      <c r="G114" s="50">
        <v>13150000</v>
      </c>
      <c r="H114" s="50">
        <v>13150000</v>
      </c>
    </row>
    <row r="115" spans="1:10" s="82" customFormat="1" ht="30.75" x14ac:dyDescent="0.25">
      <c r="A115" s="26" t="s">
        <v>194</v>
      </c>
      <c r="B115" s="49" t="s">
        <v>305</v>
      </c>
      <c r="C115" s="49" t="s">
        <v>352</v>
      </c>
      <c r="D115" s="84" t="s">
        <v>229</v>
      </c>
      <c r="E115" s="40">
        <v>200</v>
      </c>
      <c r="F115" s="50">
        <v>0</v>
      </c>
      <c r="G115" s="50">
        <v>150000</v>
      </c>
      <c r="H115" s="50">
        <v>150000</v>
      </c>
    </row>
    <row r="116" spans="1:10" s="82" customFormat="1" x14ac:dyDescent="0.25">
      <c r="A116" s="25" t="s">
        <v>196</v>
      </c>
      <c r="B116" s="49" t="s">
        <v>305</v>
      </c>
      <c r="C116" s="49" t="s">
        <v>352</v>
      </c>
      <c r="D116" s="84" t="s">
        <v>229</v>
      </c>
      <c r="E116" s="40">
        <v>800</v>
      </c>
      <c r="F116" s="50">
        <v>17720000</v>
      </c>
      <c r="G116" s="50">
        <v>13000000</v>
      </c>
      <c r="H116" s="50">
        <v>13000000</v>
      </c>
    </row>
    <row r="117" spans="1:10" s="82" customFormat="1" x14ac:dyDescent="0.25">
      <c r="A117" s="28" t="s">
        <v>386</v>
      </c>
      <c r="B117" s="47" t="s">
        <v>305</v>
      </c>
      <c r="C117" s="47" t="s">
        <v>350</v>
      </c>
      <c r="D117" s="43"/>
      <c r="E117" s="43"/>
      <c r="F117" s="48">
        <v>131192428.52999999</v>
      </c>
      <c r="G117" s="48">
        <v>15455434.5</v>
      </c>
      <c r="H117" s="48">
        <v>15455434.5</v>
      </c>
    </row>
    <row r="118" spans="1:10" s="82" customFormat="1" ht="31.5" x14ac:dyDescent="0.25">
      <c r="A118" s="28" t="s">
        <v>224</v>
      </c>
      <c r="B118" s="47" t="s">
        <v>305</v>
      </c>
      <c r="C118" s="47" t="s">
        <v>350</v>
      </c>
      <c r="D118" s="83" t="s">
        <v>225</v>
      </c>
      <c r="E118" s="43"/>
      <c r="F118" s="48">
        <v>131192428.52999999</v>
      </c>
      <c r="G118" s="48">
        <v>15455434.5</v>
      </c>
      <c r="H118" s="48">
        <v>15455434.5</v>
      </c>
    </row>
    <row r="119" spans="1:10" s="80" customFormat="1" x14ac:dyDescent="0.25">
      <c r="A119" s="25" t="s">
        <v>230</v>
      </c>
      <c r="B119" s="49" t="s">
        <v>305</v>
      </c>
      <c r="C119" s="49" t="s">
        <v>350</v>
      </c>
      <c r="D119" s="84" t="s">
        <v>231</v>
      </c>
      <c r="E119" s="40"/>
      <c r="F119" s="50">
        <v>131192428.52999999</v>
      </c>
      <c r="G119" s="50">
        <v>15455434.5</v>
      </c>
      <c r="H119" s="50">
        <v>15455434.5</v>
      </c>
    </row>
    <row r="120" spans="1:10" s="82" customFormat="1" ht="30.75" x14ac:dyDescent="0.25">
      <c r="A120" s="26" t="s">
        <v>194</v>
      </c>
      <c r="B120" s="49" t="s">
        <v>305</v>
      </c>
      <c r="C120" s="49" t="s">
        <v>350</v>
      </c>
      <c r="D120" s="84" t="s">
        <v>231</v>
      </c>
      <c r="E120" s="40">
        <v>200</v>
      </c>
      <c r="F120" s="50">
        <v>131192428.52999999</v>
      </c>
      <c r="G120" s="50">
        <v>15455434.5</v>
      </c>
      <c r="H120" s="50">
        <v>15455434.5</v>
      </c>
    </row>
    <row r="121" spans="1:10" s="82" customFormat="1" x14ac:dyDescent="0.25">
      <c r="A121" s="30" t="s">
        <v>336</v>
      </c>
      <c r="B121" s="47" t="s">
        <v>305</v>
      </c>
      <c r="C121" s="47" t="s">
        <v>328</v>
      </c>
      <c r="D121" s="55"/>
      <c r="E121" s="43"/>
      <c r="F121" s="48">
        <v>14000000</v>
      </c>
      <c r="G121" s="48">
        <v>0</v>
      </c>
      <c r="H121" s="48">
        <v>0</v>
      </c>
    </row>
    <row r="122" spans="1:10" s="82" customFormat="1" x14ac:dyDescent="0.25">
      <c r="A122" s="30" t="s">
        <v>294</v>
      </c>
      <c r="B122" s="47" t="s">
        <v>305</v>
      </c>
      <c r="C122" s="47" t="s">
        <v>328</v>
      </c>
      <c r="D122" s="55" t="s">
        <v>295</v>
      </c>
      <c r="E122" s="43"/>
      <c r="F122" s="48">
        <v>14000000</v>
      </c>
      <c r="G122" s="48">
        <v>0</v>
      </c>
      <c r="H122" s="48">
        <v>0</v>
      </c>
    </row>
    <row r="123" spans="1:10" s="82" customFormat="1" x14ac:dyDescent="0.25">
      <c r="A123" s="30" t="s">
        <v>314</v>
      </c>
      <c r="B123" s="49" t="s">
        <v>305</v>
      </c>
      <c r="C123" s="49" t="s">
        <v>328</v>
      </c>
      <c r="D123" s="54" t="s">
        <v>315</v>
      </c>
      <c r="E123" s="40"/>
      <c r="F123" s="50">
        <v>14000000</v>
      </c>
      <c r="G123" s="50">
        <v>0</v>
      </c>
      <c r="H123" s="50">
        <v>0</v>
      </c>
    </row>
    <row r="124" spans="1:10" s="82" customFormat="1" ht="30.75" x14ac:dyDescent="0.25">
      <c r="A124" s="26" t="s">
        <v>194</v>
      </c>
      <c r="B124" s="49" t="s">
        <v>305</v>
      </c>
      <c r="C124" s="49" t="s">
        <v>328</v>
      </c>
      <c r="D124" s="54" t="s">
        <v>315</v>
      </c>
      <c r="E124" s="40">
        <v>200</v>
      </c>
      <c r="F124" s="50">
        <v>14000000</v>
      </c>
      <c r="G124" s="50">
        <v>0</v>
      </c>
      <c r="H124" s="50">
        <v>0</v>
      </c>
    </row>
    <row r="125" spans="1:10" s="82" customFormat="1" ht="31.5" x14ac:dyDescent="0.25">
      <c r="A125" s="28" t="s">
        <v>387</v>
      </c>
      <c r="B125" s="47" t="s">
        <v>305</v>
      </c>
      <c r="C125" s="47" t="s">
        <v>388</v>
      </c>
      <c r="D125" s="43"/>
      <c r="E125" s="43"/>
      <c r="F125" s="48">
        <v>4633000</v>
      </c>
      <c r="G125" s="48">
        <v>4716760</v>
      </c>
      <c r="H125" s="48">
        <v>4716760</v>
      </c>
    </row>
    <row r="126" spans="1:10" s="80" customFormat="1" ht="31.5" x14ac:dyDescent="0.25">
      <c r="A126" s="28" t="s">
        <v>215</v>
      </c>
      <c r="B126" s="47" t="s">
        <v>305</v>
      </c>
      <c r="C126" s="47" t="s">
        <v>388</v>
      </c>
      <c r="D126" s="83" t="s">
        <v>216</v>
      </c>
      <c r="E126" s="43"/>
      <c r="F126" s="48">
        <v>4633000</v>
      </c>
      <c r="G126" s="48">
        <v>4716760</v>
      </c>
      <c r="H126" s="48">
        <v>4716760</v>
      </c>
      <c r="I126" s="82"/>
      <c r="J126" s="82"/>
    </row>
    <row r="127" spans="1:10" s="80" customFormat="1" x14ac:dyDescent="0.25">
      <c r="A127" s="25" t="s">
        <v>389</v>
      </c>
      <c r="B127" s="49" t="s">
        <v>305</v>
      </c>
      <c r="C127" s="49" t="s">
        <v>388</v>
      </c>
      <c r="D127" s="84" t="s">
        <v>217</v>
      </c>
      <c r="E127" s="40"/>
      <c r="F127" s="50">
        <v>4633000</v>
      </c>
      <c r="G127" s="50">
        <v>4716760</v>
      </c>
      <c r="H127" s="50">
        <v>4716760</v>
      </c>
      <c r="I127" s="82"/>
      <c r="J127" s="82"/>
    </row>
    <row r="128" spans="1:10" s="80" customFormat="1" ht="30.75" x14ac:dyDescent="0.25">
      <c r="A128" s="25" t="s">
        <v>194</v>
      </c>
      <c r="B128" s="49" t="s">
        <v>305</v>
      </c>
      <c r="C128" s="49" t="s">
        <v>388</v>
      </c>
      <c r="D128" s="84" t="s">
        <v>217</v>
      </c>
      <c r="E128" s="40">
        <v>200</v>
      </c>
      <c r="F128" s="50">
        <v>0</v>
      </c>
      <c r="G128" s="50">
        <v>0</v>
      </c>
      <c r="H128" s="50">
        <v>0</v>
      </c>
      <c r="I128" s="82"/>
      <c r="J128" s="82"/>
    </row>
    <row r="129" spans="1:10" s="80" customFormat="1" x14ac:dyDescent="0.25">
      <c r="A129" s="26" t="s">
        <v>195</v>
      </c>
      <c r="B129" s="49" t="s">
        <v>305</v>
      </c>
      <c r="C129" s="49" t="s">
        <v>388</v>
      </c>
      <c r="D129" s="84" t="s">
        <v>217</v>
      </c>
      <c r="E129" s="40">
        <v>300</v>
      </c>
      <c r="F129" s="50">
        <v>333000</v>
      </c>
      <c r="G129" s="50">
        <v>416760</v>
      </c>
      <c r="H129" s="50">
        <v>416760</v>
      </c>
      <c r="I129" s="82"/>
      <c r="J129" s="82"/>
    </row>
    <row r="130" spans="1:10" s="80" customFormat="1" x14ac:dyDescent="0.25">
      <c r="A130" s="25" t="s">
        <v>196</v>
      </c>
      <c r="B130" s="49" t="s">
        <v>305</v>
      </c>
      <c r="C130" s="49" t="s">
        <v>388</v>
      </c>
      <c r="D130" s="84" t="s">
        <v>217</v>
      </c>
      <c r="E130" s="40">
        <v>800</v>
      </c>
      <c r="F130" s="50">
        <v>4300000</v>
      </c>
      <c r="G130" s="50">
        <v>4300000</v>
      </c>
      <c r="H130" s="50">
        <v>4300000</v>
      </c>
      <c r="I130" s="82"/>
      <c r="J130" s="82"/>
    </row>
    <row r="131" spans="1:10" s="80" customFormat="1" x14ac:dyDescent="0.25">
      <c r="A131" s="30" t="s">
        <v>337</v>
      </c>
      <c r="B131" s="47" t="s">
        <v>334</v>
      </c>
      <c r="C131" s="47"/>
      <c r="D131" s="83"/>
      <c r="E131" s="43"/>
      <c r="F131" s="48">
        <v>9810436.8000000007</v>
      </c>
      <c r="G131" s="48">
        <v>0</v>
      </c>
      <c r="H131" s="48">
        <v>0</v>
      </c>
      <c r="I131" s="82"/>
      <c r="J131" s="82"/>
    </row>
    <row r="132" spans="1:10" s="80" customFormat="1" hidden="1" x14ac:dyDescent="0.25">
      <c r="A132" s="30" t="s">
        <v>338</v>
      </c>
      <c r="B132" s="47" t="s">
        <v>334</v>
      </c>
      <c r="C132" s="47" t="s">
        <v>291</v>
      </c>
      <c r="D132" s="55"/>
      <c r="E132" s="43"/>
      <c r="F132" s="48">
        <v>0</v>
      </c>
      <c r="G132" s="48">
        <v>0</v>
      </c>
      <c r="H132" s="48">
        <v>0</v>
      </c>
      <c r="I132" s="82"/>
      <c r="J132" s="82"/>
    </row>
    <row r="133" spans="1:10" s="80" customFormat="1" hidden="1" x14ac:dyDescent="0.25">
      <c r="A133" s="30" t="s">
        <v>294</v>
      </c>
      <c r="B133" s="47" t="s">
        <v>334</v>
      </c>
      <c r="C133" s="47" t="s">
        <v>291</v>
      </c>
      <c r="D133" s="55" t="s">
        <v>295</v>
      </c>
      <c r="E133" s="43"/>
      <c r="F133" s="48">
        <v>0</v>
      </c>
      <c r="G133" s="48">
        <v>0</v>
      </c>
      <c r="H133" s="48">
        <v>0</v>
      </c>
      <c r="I133" s="82"/>
      <c r="J133" s="82"/>
    </row>
    <row r="134" spans="1:10" s="80" customFormat="1" hidden="1" x14ac:dyDescent="0.25">
      <c r="A134" s="26" t="s">
        <v>314</v>
      </c>
      <c r="B134" s="49" t="s">
        <v>334</v>
      </c>
      <c r="C134" s="49" t="s">
        <v>291</v>
      </c>
      <c r="D134" s="54" t="s">
        <v>315</v>
      </c>
      <c r="E134" s="40"/>
      <c r="F134" s="50">
        <v>0</v>
      </c>
      <c r="G134" s="50">
        <v>0</v>
      </c>
      <c r="H134" s="50">
        <v>0</v>
      </c>
      <c r="I134" s="82"/>
      <c r="J134" s="82"/>
    </row>
    <row r="135" spans="1:10" s="80" customFormat="1" ht="30.75" hidden="1" x14ac:dyDescent="0.25">
      <c r="A135" s="25" t="s">
        <v>194</v>
      </c>
      <c r="B135" s="49" t="s">
        <v>334</v>
      </c>
      <c r="C135" s="49" t="s">
        <v>291</v>
      </c>
      <c r="D135" s="54" t="s">
        <v>315</v>
      </c>
      <c r="E135" s="40">
        <v>200</v>
      </c>
      <c r="F135" s="50">
        <v>0</v>
      </c>
      <c r="G135" s="50">
        <v>0</v>
      </c>
      <c r="H135" s="50">
        <v>0</v>
      </c>
      <c r="I135" s="82"/>
      <c r="J135" s="82"/>
    </row>
    <row r="136" spans="1:10" s="80" customFormat="1" ht="30.75" hidden="1" x14ac:dyDescent="0.25">
      <c r="A136" s="25" t="s">
        <v>201</v>
      </c>
      <c r="B136" s="49" t="s">
        <v>334</v>
      </c>
      <c r="C136" s="49" t="s">
        <v>291</v>
      </c>
      <c r="D136" s="54" t="s">
        <v>315</v>
      </c>
      <c r="E136" s="40">
        <v>600</v>
      </c>
      <c r="F136" s="50">
        <v>0</v>
      </c>
      <c r="G136" s="50">
        <v>0</v>
      </c>
      <c r="H136" s="50">
        <v>0</v>
      </c>
      <c r="I136" s="82"/>
      <c r="J136" s="82"/>
    </row>
    <row r="137" spans="1:10" s="80" customFormat="1" x14ac:dyDescent="0.25">
      <c r="A137" s="30" t="s">
        <v>341</v>
      </c>
      <c r="B137" s="47" t="s">
        <v>334</v>
      </c>
      <c r="C137" s="47" t="s">
        <v>301</v>
      </c>
      <c r="D137" s="83"/>
      <c r="E137" s="43"/>
      <c r="F137" s="48">
        <v>9810436.8000000007</v>
      </c>
      <c r="G137" s="48">
        <v>0</v>
      </c>
      <c r="H137" s="48">
        <v>0</v>
      </c>
      <c r="I137" s="82"/>
      <c r="J137" s="82"/>
    </row>
    <row r="138" spans="1:10" s="80" customFormat="1" x14ac:dyDescent="0.25">
      <c r="A138" s="30" t="s">
        <v>294</v>
      </c>
      <c r="B138" s="47" t="s">
        <v>334</v>
      </c>
      <c r="C138" s="47" t="s">
        <v>301</v>
      </c>
      <c r="D138" s="83" t="s">
        <v>295</v>
      </c>
      <c r="E138" s="43"/>
      <c r="F138" s="48">
        <v>9810436.8000000007</v>
      </c>
      <c r="G138" s="48">
        <v>0</v>
      </c>
      <c r="H138" s="48">
        <v>0</v>
      </c>
      <c r="I138" s="82"/>
      <c r="J138" s="82"/>
    </row>
    <row r="139" spans="1:10" s="80" customFormat="1" x14ac:dyDescent="0.25">
      <c r="A139" s="26" t="s">
        <v>314</v>
      </c>
      <c r="B139" s="49" t="s">
        <v>334</v>
      </c>
      <c r="C139" s="49" t="s">
        <v>301</v>
      </c>
      <c r="D139" s="84" t="s">
        <v>315</v>
      </c>
      <c r="E139" s="40"/>
      <c r="F139" s="50">
        <v>9810436.8000000007</v>
      </c>
      <c r="G139" s="50">
        <v>0</v>
      </c>
      <c r="H139" s="50">
        <v>0</v>
      </c>
      <c r="I139" s="82"/>
      <c r="J139" s="82"/>
    </row>
    <row r="140" spans="1:10" s="80" customFormat="1" ht="30.75" x14ac:dyDescent="0.25">
      <c r="A140" s="26" t="s">
        <v>214</v>
      </c>
      <c r="B140" s="49" t="s">
        <v>334</v>
      </c>
      <c r="C140" s="49" t="s">
        <v>301</v>
      </c>
      <c r="D140" s="84" t="s">
        <v>315</v>
      </c>
      <c r="E140" s="40">
        <v>400</v>
      </c>
      <c r="F140" s="50">
        <v>9810436.8000000007</v>
      </c>
      <c r="G140" s="50">
        <v>0</v>
      </c>
      <c r="H140" s="50">
        <v>0</v>
      </c>
      <c r="I140" s="82"/>
      <c r="J140" s="82"/>
    </row>
    <row r="141" spans="1:10" s="82" customFormat="1" x14ac:dyDescent="0.25">
      <c r="A141" s="28" t="s">
        <v>390</v>
      </c>
      <c r="B141" s="47" t="s">
        <v>309</v>
      </c>
      <c r="C141" s="47"/>
      <c r="D141" s="43"/>
      <c r="E141" s="43"/>
      <c r="F141" s="48">
        <v>2089351.33</v>
      </c>
      <c r="G141" s="48">
        <v>1440423.53</v>
      </c>
      <c r="H141" s="48">
        <v>1440423.53</v>
      </c>
    </row>
    <row r="142" spans="1:10" s="82" customFormat="1" ht="31.5" x14ac:dyDescent="0.25">
      <c r="A142" s="30" t="s">
        <v>391</v>
      </c>
      <c r="B142" s="47" t="s">
        <v>309</v>
      </c>
      <c r="C142" s="47" t="s">
        <v>301</v>
      </c>
      <c r="D142" s="83"/>
      <c r="E142" s="43"/>
      <c r="F142" s="48">
        <v>2089351.33</v>
      </c>
      <c r="G142" s="48">
        <v>1440423.53</v>
      </c>
      <c r="H142" s="48">
        <v>1440423.53</v>
      </c>
    </row>
    <row r="143" spans="1:10" s="82" customFormat="1" ht="31.5" x14ac:dyDescent="0.25">
      <c r="A143" s="28" t="s">
        <v>392</v>
      </c>
      <c r="B143" s="47" t="s">
        <v>309</v>
      </c>
      <c r="C143" s="47" t="s">
        <v>301</v>
      </c>
      <c r="D143" s="85">
        <v>2900000000</v>
      </c>
      <c r="E143" s="86"/>
      <c r="F143" s="48">
        <v>2089351.33</v>
      </c>
      <c r="G143" s="48">
        <v>1440423.53</v>
      </c>
      <c r="H143" s="48">
        <v>1440423.53</v>
      </c>
    </row>
    <row r="144" spans="1:10" s="82" customFormat="1" ht="30.75" x14ac:dyDescent="0.25">
      <c r="A144" s="25" t="s">
        <v>276</v>
      </c>
      <c r="B144" s="49" t="s">
        <v>309</v>
      </c>
      <c r="C144" s="49" t="s">
        <v>301</v>
      </c>
      <c r="D144" s="67">
        <v>2930000000</v>
      </c>
      <c r="E144" s="87"/>
      <c r="F144" s="50">
        <v>1820351.33</v>
      </c>
      <c r="G144" s="50">
        <v>1162190.53</v>
      </c>
      <c r="H144" s="50">
        <v>1162190.53</v>
      </c>
    </row>
    <row r="145" spans="1:8" s="82" customFormat="1" ht="30.75" x14ac:dyDescent="0.25">
      <c r="A145" s="25" t="s">
        <v>194</v>
      </c>
      <c r="B145" s="49" t="s">
        <v>309</v>
      </c>
      <c r="C145" s="49" t="s">
        <v>301</v>
      </c>
      <c r="D145" s="67">
        <v>2930000000</v>
      </c>
      <c r="E145" s="87">
        <v>200</v>
      </c>
      <c r="F145" s="50">
        <v>1820351.33</v>
      </c>
      <c r="G145" s="50">
        <v>1162190.53</v>
      </c>
      <c r="H145" s="50">
        <v>1162190.53</v>
      </c>
    </row>
    <row r="146" spans="1:8" s="80" customFormat="1" ht="30.75" hidden="1" x14ac:dyDescent="0.25">
      <c r="A146" s="88" t="s">
        <v>393</v>
      </c>
      <c r="B146" s="49" t="s">
        <v>309</v>
      </c>
      <c r="C146" s="49" t="s">
        <v>301</v>
      </c>
      <c r="D146" s="67">
        <v>2940000000</v>
      </c>
      <c r="E146" s="87"/>
      <c r="F146" s="50">
        <v>0</v>
      </c>
      <c r="G146" s="50">
        <v>0</v>
      </c>
      <c r="H146" s="50">
        <v>0</v>
      </c>
    </row>
    <row r="147" spans="1:8" s="82" customFormat="1" ht="30.75" hidden="1" x14ac:dyDescent="0.25">
      <c r="A147" s="26" t="s">
        <v>194</v>
      </c>
      <c r="B147" s="49" t="s">
        <v>309</v>
      </c>
      <c r="C147" s="49" t="s">
        <v>301</v>
      </c>
      <c r="D147" s="67">
        <v>2940000000</v>
      </c>
      <c r="E147" s="67">
        <v>200</v>
      </c>
      <c r="F147" s="50">
        <v>0</v>
      </c>
      <c r="G147" s="50">
        <v>0</v>
      </c>
      <c r="H147" s="50">
        <v>0</v>
      </c>
    </row>
    <row r="148" spans="1:8" s="80" customFormat="1" ht="30.75" x14ac:dyDescent="0.25">
      <c r="A148" s="25" t="s">
        <v>277</v>
      </c>
      <c r="B148" s="49" t="s">
        <v>309</v>
      </c>
      <c r="C148" s="49" t="s">
        <v>301</v>
      </c>
      <c r="D148" s="67">
        <v>2970000000</v>
      </c>
      <c r="E148" s="67"/>
      <c r="F148" s="50">
        <v>269000</v>
      </c>
      <c r="G148" s="50">
        <v>278233</v>
      </c>
      <c r="H148" s="50">
        <v>278233</v>
      </c>
    </row>
    <row r="149" spans="1:8" s="82" customFormat="1" ht="30.75" x14ac:dyDescent="0.25">
      <c r="A149" s="26" t="s">
        <v>194</v>
      </c>
      <c r="B149" s="49" t="s">
        <v>309</v>
      </c>
      <c r="C149" s="49" t="s">
        <v>301</v>
      </c>
      <c r="D149" s="67">
        <v>2970000000</v>
      </c>
      <c r="E149" s="67">
        <v>200</v>
      </c>
      <c r="F149" s="50">
        <v>269000</v>
      </c>
      <c r="G149" s="50">
        <v>278233</v>
      </c>
      <c r="H149" s="50">
        <v>278233</v>
      </c>
    </row>
    <row r="150" spans="1:8" s="82" customFormat="1" x14ac:dyDescent="0.25">
      <c r="A150" s="28" t="s">
        <v>344</v>
      </c>
      <c r="B150" s="47" t="s">
        <v>345</v>
      </c>
      <c r="C150" s="47"/>
      <c r="D150" s="43"/>
      <c r="E150" s="43"/>
      <c r="F150" s="48">
        <v>1397797706.8</v>
      </c>
      <c r="G150" s="48">
        <v>1099171680.7299998</v>
      </c>
      <c r="H150" s="48">
        <v>1101696595.0599999</v>
      </c>
    </row>
    <row r="151" spans="1:8" s="82" customFormat="1" x14ac:dyDescent="0.25">
      <c r="A151" s="28" t="s">
        <v>346</v>
      </c>
      <c r="B151" s="47" t="s">
        <v>345</v>
      </c>
      <c r="C151" s="47" t="s">
        <v>291</v>
      </c>
      <c r="D151" s="43"/>
      <c r="E151" s="43"/>
      <c r="F151" s="48">
        <v>334634688.94</v>
      </c>
      <c r="G151" s="48">
        <v>333576586.27999997</v>
      </c>
      <c r="H151" s="48">
        <v>333576586.27999997</v>
      </c>
    </row>
    <row r="152" spans="1:8" s="89" customFormat="1" x14ac:dyDescent="0.25">
      <c r="A152" s="28" t="s">
        <v>189</v>
      </c>
      <c r="B152" s="47" t="s">
        <v>345</v>
      </c>
      <c r="C152" s="47" t="s">
        <v>291</v>
      </c>
      <c r="D152" s="83" t="s">
        <v>190</v>
      </c>
      <c r="E152" s="43"/>
      <c r="F152" s="48">
        <v>322679524.94</v>
      </c>
      <c r="G152" s="48">
        <v>333576586.27999997</v>
      </c>
      <c r="H152" s="48">
        <v>333576586.27999997</v>
      </c>
    </row>
    <row r="153" spans="1:8" s="2" customFormat="1" ht="15" x14ac:dyDescent="0.2">
      <c r="A153" s="90" t="s">
        <v>197</v>
      </c>
      <c r="B153" s="49" t="s">
        <v>345</v>
      </c>
      <c r="C153" s="49" t="s">
        <v>291</v>
      </c>
      <c r="D153" s="84" t="s">
        <v>198</v>
      </c>
      <c r="E153" s="40"/>
      <c r="F153" s="50">
        <v>322679524.94</v>
      </c>
      <c r="G153" s="50">
        <v>333576586.27999997</v>
      </c>
      <c r="H153" s="50">
        <v>333576586.27999997</v>
      </c>
    </row>
    <row r="154" spans="1:8" s="89" customFormat="1" ht="75" x14ac:dyDescent="0.2">
      <c r="A154" s="25" t="s">
        <v>193</v>
      </c>
      <c r="B154" s="49" t="s">
        <v>345</v>
      </c>
      <c r="C154" s="49" t="s">
        <v>291</v>
      </c>
      <c r="D154" s="84" t="s">
        <v>198</v>
      </c>
      <c r="E154" s="40">
        <v>100</v>
      </c>
      <c r="F154" s="50">
        <v>160286018.76999995</v>
      </c>
      <c r="G154" s="50">
        <v>160572845.09</v>
      </c>
      <c r="H154" s="50">
        <v>160572845.09</v>
      </c>
    </row>
    <row r="155" spans="1:8" s="89" customFormat="1" ht="30" x14ac:dyDescent="0.2">
      <c r="A155" s="26" t="s">
        <v>194</v>
      </c>
      <c r="B155" s="49" t="s">
        <v>345</v>
      </c>
      <c r="C155" s="49" t="s">
        <v>291</v>
      </c>
      <c r="D155" s="84" t="s">
        <v>198</v>
      </c>
      <c r="E155" s="40">
        <v>200</v>
      </c>
      <c r="F155" s="50">
        <v>157599050.02000004</v>
      </c>
      <c r="G155" s="50">
        <v>164469540.19</v>
      </c>
      <c r="H155" s="50">
        <v>164469540.19</v>
      </c>
    </row>
    <row r="156" spans="1:8" s="89" customFormat="1" ht="15" x14ac:dyDescent="0.2">
      <c r="A156" s="26" t="s">
        <v>195</v>
      </c>
      <c r="B156" s="49" t="s">
        <v>345</v>
      </c>
      <c r="C156" s="49" t="s">
        <v>291</v>
      </c>
      <c r="D156" s="84" t="s">
        <v>198</v>
      </c>
      <c r="E156" s="40">
        <v>300</v>
      </c>
      <c r="F156" s="50">
        <v>412811.11000000004</v>
      </c>
      <c r="G156" s="50">
        <v>0</v>
      </c>
      <c r="H156" s="50">
        <v>0</v>
      </c>
    </row>
    <row r="157" spans="1:8" s="82" customFormat="1" x14ac:dyDescent="0.25">
      <c r="A157" s="25" t="s">
        <v>196</v>
      </c>
      <c r="B157" s="49" t="s">
        <v>345</v>
      </c>
      <c r="C157" s="49" t="s">
        <v>291</v>
      </c>
      <c r="D157" s="84" t="s">
        <v>198</v>
      </c>
      <c r="E157" s="40">
        <v>800</v>
      </c>
      <c r="F157" s="50">
        <v>4381645.04</v>
      </c>
      <c r="G157" s="50">
        <v>8534201</v>
      </c>
      <c r="H157" s="50">
        <v>8534201</v>
      </c>
    </row>
    <row r="158" spans="1:8" s="82" customFormat="1" x14ac:dyDescent="0.25">
      <c r="A158" s="30" t="s">
        <v>294</v>
      </c>
      <c r="B158" s="47" t="s">
        <v>345</v>
      </c>
      <c r="C158" s="47" t="s">
        <v>291</v>
      </c>
      <c r="D158" s="55" t="s">
        <v>295</v>
      </c>
      <c r="E158" s="43"/>
      <c r="F158" s="48">
        <v>11955164</v>
      </c>
      <c r="G158" s="48">
        <v>0</v>
      </c>
      <c r="H158" s="48">
        <v>0</v>
      </c>
    </row>
    <row r="159" spans="1:8" s="82" customFormat="1" x14ac:dyDescent="0.25">
      <c r="A159" s="26" t="s">
        <v>314</v>
      </c>
      <c r="B159" s="49" t="s">
        <v>345</v>
      </c>
      <c r="C159" s="49" t="s">
        <v>291</v>
      </c>
      <c r="D159" s="54" t="s">
        <v>315</v>
      </c>
      <c r="E159" s="40"/>
      <c r="F159" s="50">
        <v>11955164</v>
      </c>
      <c r="G159" s="50">
        <v>0</v>
      </c>
      <c r="H159" s="50">
        <v>0</v>
      </c>
    </row>
    <row r="160" spans="1:8" s="82" customFormat="1" ht="30.75" x14ac:dyDescent="0.25">
      <c r="A160" s="26" t="s">
        <v>194</v>
      </c>
      <c r="B160" s="49" t="s">
        <v>345</v>
      </c>
      <c r="C160" s="49" t="s">
        <v>291</v>
      </c>
      <c r="D160" s="54" t="s">
        <v>315</v>
      </c>
      <c r="E160" s="40">
        <v>200</v>
      </c>
      <c r="F160" s="50">
        <v>3772110</v>
      </c>
      <c r="G160" s="50">
        <v>0</v>
      </c>
      <c r="H160" s="50">
        <v>0</v>
      </c>
    </row>
    <row r="161" spans="1:15" s="82" customFormat="1" x14ac:dyDescent="0.25">
      <c r="A161" s="25" t="s">
        <v>196</v>
      </c>
      <c r="B161" s="49" t="s">
        <v>345</v>
      </c>
      <c r="C161" s="49" t="s">
        <v>291</v>
      </c>
      <c r="D161" s="54" t="s">
        <v>315</v>
      </c>
      <c r="E161" s="40">
        <v>800</v>
      </c>
      <c r="F161" s="50">
        <v>8183054</v>
      </c>
      <c r="G161" s="50">
        <v>0</v>
      </c>
      <c r="H161" s="50">
        <v>0</v>
      </c>
    </row>
    <row r="162" spans="1:15" s="82" customFormat="1" x14ac:dyDescent="0.25">
      <c r="A162" s="28" t="s">
        <v>347</v>
      </c>
      <c r="B162" s="47" t="s">
        <v>345</v>
      </c>
      <c r="C162" s="47" t="s">
        <v>293</v>
      </c>
      <c r="D162" s="43"/>
      <c r="E162" s="43"/>
      <c r="F162" s="48">
        <v>529790846.30999994</v>
      </c>
      <c r="G162" s="48">
        <v>420442889.57999998</v>
      </c>
      <c r="H162" s="48">
        <v>422709839.26999998</v>
      </c>
    </row>
    <row r="163" spans="1:15" s="82" customFormat="1" x14ac:dyDescent="0.25">
      <c r="A163" s="28" t="s">
        <v>189</v>
      </c>
      <c r="B163" s="47" t="s">
        <v>345</v>
      </c>
      <c r="C163" s="47" t="s">
        <v>293</v>
      </c>
      <c r="D163" s="83" t="s">
        <v>190</v>
      </c>
      <c r="E163" s="43"/>
      <c r="F163" s="48">
        <v>403816657.01999998</v>
      </c>
      <c r="G163" s="48">
        <v>420442889.57999998</v>
      </c>
      <c r="H163" s="48">
        <v>422709839.26999998</v>
      </c>
    </row>
    <row r="164" spans="1:15" s="82" customFormat="1" x14ac:dyDescent="0.25">
      <c r="A164" s="25" t="s">
        <v>199</v>
      </c>
      <c r="B164" s="49" t="s">
        <v>345</v>
      </c>
      <c r="C164" s="49" t="s">
        <v>293</v>
      </c>
      <c r="D164" s="84" t="s">
        <v>200</v>
      </c>
      <c r="E164" s="40"/>
      <c r="F164" s="50">
        <v>403816657.01999998</v>
      </c>
      <c r="G164" s="50">
        <v>420442889.57999998</v>
      </c>
      <c r="H164" s="50">
        <v>422709839.26999998</v>
      </c>
    </row>
    <row r="165" spans="1:15" s="82" customFormat="1" ht="75.75" x14ac:dyDescent="0.25">
      <c r="A165" s="26" t="s">
        <v>193</v>
      </c>
      <c r="B165" s="49" t="s">
        <v>345</v>
      </c>
      <c r="C165" s="49" t="s">
        <v>293</v>
      </c>
      <c r="D165" s="84" t="s">
        <v>200</v>
      </c>
      <c r="E165" s="40">
        <v>100</v>
      </c>
      <c r="F165" s="51">
        <v>87230248.620000005</v>
      </c>
      <c r="G165" s="51">
        <v>86586452</v>
      </c>
      <c r="H165" s="51">
        <v>86122077</v>
      </c>
    </row>
    <row r="166" spans="1:15" s="82" customFormat="1" ht="30.75" x14ac:dyDescent="0.25">
      <c r="A166" s="26" t="s">
        <v>194</v>
      </c>
      <c r="B166" s="49" t="s">
        <v>345</v>
      </c>
      <c r="C166" s="49" t="s">
        <v>293</v>
      </c>
      <c r="D166" s="84" t="s">
        <v>200</v>
      </c>
      <c r="E166" s="40">
        <v>200</v>
      </c>
      <c r="F166" s="51">
        <v>62270950.400000006</v>
      </c>
      <c r="G166" s="51">
        <v>63877575.509999998</v>
      </c>
      <c r="H166" s="51">
        <v>63877575.509999998</v>
      </c>
    </row>
    <row r="167" spans="1:15" s="82" customFormat="1" x14ac:dyDescent="0.25">
      <c r="A167" s="26" t="s">
        <v>195</v>
      </c>
      <c r="B167" s="49" t="s">
        <v>345</v>
      </c>
      <c r="C167" s="49" t="s">
        <v>293</v>
      </c>
      <c r="D167" s="84" t="s">
        <v>200</v>
      </c>
      <c r="E167" s="40">
        <v>300</v>
      </c>
      <c r="F167" s="51">
        <v>65100</v>
      </c>
      <c r="G167" s="51">
        <v>0</v>
      </c>
      <c r="H167" s="51">
        <v>0</v>
      </c>
    </row>
    <row r="168" spans="1:15" s="82" customFormat="1" ht="30.75" x14ac:dyDescent="0.25">
      <c r="A168" s="25" t="s">
        <v>201</v>
      </c>
      <c r="B168" s="49" t="s">
        <v>345</v>
      </c>
      <c r="C168" s="49" t="s">
        <v>293</v>
      </c>
      <c r="D168" s="84" t="s">
        <v>200</v>
      </c>
      <c r="E168" s="40">
        <v>600</v>
      </c>
      <c r="F168" s="51">
        <v>252266645.16999999</v>
      </c>
      <c r="G168" s="51">
        <v>268409046.06999999</v>
      </c>
      <c r="H168" s="51">
        <v>271140370.75999999</v>
      </c>
    </row>
    <row r="169" spans="1:15" s="82" customFormat="1" x14ac:dyDescent="0.25">
      <c r="A169" s="25" t="s">
        <v>196</v>
      </c>
      <c r="B169" s="49" t="s">
        <v>345</v>
      </c>
      <c r="C169" s="49" t="s">
        <v>293</v>
      </c>
      <c r="D169" s="84" t="s">
        <v>200</v>
      </c>
      <c r="E169" s="40">
        <v>800</v>
      </c>
      <c r="F169" s="51">
        <v>1983712.83</v>
      </c>
      <c r="G169" s="51">
        <v>1569816</v>
      </c>
      <c r="H169" s="51">
        <v>1569816</v>
      </c>
    </row>
    <row r="170" spans="1:15" s="82" customFormat="1" ht="31.5" x14ac:dyDescent="0.25">
      <c r="A170" s="28" t="s">
        <v>256</v>
      </c>
      <c r="B170" s="49" t="s">
        <v>345</v>
      </c>
      <c r="C170" s="49" t="s">
        <v>293</v>
      </c>
      <c r="D170" s="83" t="s">
        <v>257</v>
      </c>
      <c r="E170" s="43"/>
      <c r="F170" s="53">
        <v>67902277.060000017</v>
      </c>
      <c r="G170" s="53">
        <v>0</v>
      </c>
      <c r="H170" s="53">
        <v>0</v>
      </c>
    </row>
    <row r="171" spans="1:15" s="82" customFormat="1" x14ac:dyDescent="0.25">
      <c r="A171" s="25" t="s">
        <v>259</v>
      </c>
      <c r="B171" s="49" t="s">
        <v>345</v>
      </c>
      <c r="C171" s="49" t="s">
        <v>293</v>
      </c>
      <c r="D171" s="84" t="s">
        <v>260</v>
      </c>
      <c r="E171" s="40"/>
      <c r="F171" s="51">
        <v>67902277.060000017</v>
      </c>
      <c r="G171" s="51">
        <v>0</v>
      </c>
      <c r="H171" s="51">
        <v>0</v>
      </c>
    </row>
    <row r="172" spans="1:15" s="82" customFormat="1" ht="30.75" x14ac:dyDescent="0.25">
      <c r="A172" s="25" t="s">
        <v>261</v>
      </c>
      <c r="B172" s="49" t="s">
        <v>345</v>
      </c>
      <c r="C172" s="49" t="s">
        <v>293</v>
      </c>
      <c r="D172" s="84" t="s">
        <v>260</v>
      </c>
      <c r="E172" s="40">
        <v>400</v>
      </c>
      <c r="F172" s="51">
        <v>67902277.060000017</v>
      </c>
      <c r="G172" s="51">
        <v>0</v>
      </c>
      <c r="H172" s="51">
        <v>0</v>
      </c>
      <c r="O172" s="177"/>
    </row>
    <row r="173" spans="1:15" s="82" customFormat="1" x14ac:dyDescent="0.25">
      <c r="A173" s="30" t="s">
        <v>294</v>
      </c>
      <c r="B173" s="47" t="s">
        <v>345</v>
      </c>
      <c r="C173" s="47" t="s">
        <v>293</v>
      </c>
      <c r="D173" s="55" t="s">
        <v>295</v>
      </c>
      <c r="E173" s="43"/>
      <c r="F173" s="53">
        <v>58071912.229999982</v>
      </c>
      <c r="G173" s="53">
        <v>0</v>
      </c>
      <c r="H173" s="53">
        <v>0</v>
      </c>
    </row>
    <row r="174" spans="1:15" s="82" customFormat="1" x14ac:dyDescent="0.25">
      <c r="A174" s="26" t="s">
        <v>314</v>
      </c>
      <c r="B174" s="49" t="s">
        <v>345</v>
      </c>
      <c r="C174" s="49" t="s">
        <v>293</v>
      </c>
      <c r="D174" s="54" t="s">
        <v>315</v>
      </c>
      <c r="E174" s="40"/>
      <c r="F174" s="51">
        <v>58071912.229999982</v>
      </c>
      <c r="G174" s="51">
        <v>0</v>
      </c>
      <c r="H174" s="51">
        <v>0</v>
      </c>
    </row>
    <row r="175" spans="1:15" s="82" customFormat="1" ht="30.75" x14ac:dyDescent="0.25">
      <c r="A175" s="26" t="s">
        <v>194</v>
      </c>
      <c r="B175" s="49" t="s">
        <v>345</v>
      </c>
      <c r="C175" s="49" t="s">
        <v>293</v>
      </c>
      <c r="D175" s="54" t="s">
        <v>315</v>
      </c>
      <c r="E175" s="40">
        <v>200</v>
      </c>
      <c r="F175" s="51">
        <v>7776215.0800000001</v>
      </c>
      <c r="G175" s="51">
        <v>0</v>
      </c>
      <c r="H175" s="51">
        <v>0</v>
      </c>
    </row>
    <row r="176" spans="1:15" s="82" customFormat="1" ht="30.75" hidden="1" x14ac:dyDescent="0.25">
      <c r="A176" s="25" t="s">
        <v>261</v>
      </c>
      <c r="B176" s="49" t="s">
        <v>345</v>
      </c>
      <c r="C176" s="49" t="s">
        <v>293</v>
      </c>
      <c r="D176" s="54" t="s">
        <v>315</v>
      </c>
      <c r="E176" s="40">
        <v>400</v>
      </c>
      <c r="F176" s="51">
        <v>0</v>
      </c>
      <c r="G176" s="51">
        <v>0</v>
      </c>
      <c r="H176" s="51">
        <v>0</v>
      </c>
    </row>
    <row r="177" spans="1:15" s="82" customFormat="1" ht="30.75" x14ac:dyDescent="0.25">
      <c r="A177" s="25" t="s">
        <v>201</v>
      </c>
      <c r="B177" s="49" t="s">
        <v>345</v>
      </c>
      <c r="C177" s="49" t="s">
        <v>293</v>
      </c>
      <c r="D177" s="54" t="s">
        <v>315</v>
      </c>
      <c r="E177" s="40">
        <v>600</v>
      </c>
      <c r="F177" s="51">
        <v>50295697.149999984</v>
      </c>
      <c r="G177" s="51">
        <v>0</v>
      </c>
      <c r="H177" s="51">
        <v>0</v>
      </c>
    </row>
    <row r="178" spans="1:15" s="82" customFormat="1" x14ac:dyDescent="0.25">
      <c r="A178" s="28" t="s">
        <v>348</v>
      </c>
      <c r="B178" s="47" t="s">
        <v>345</v>
      </c>
      <c r="C178" s="47" t="s">
        <v>301</v>
      </c>
      <c r="D178" s="83"/>
      <c r="E178" s="43"/>
      <c r="F178" s="53">
        <v>352172227.11000001</v>
      </c>
      <c r="G178" s="53">
        <v>179150030.47</v>
      </c>
      <c r="H178" s="53">
        <v>179407995.11000001</v>
      </c>
    </row>
    <row r="179" spans="1:15" s="82" customFormat="1" x14ac:dyDescent="0.25">
      <c r="A179" s="28" t="s">
        <v>189</v>
      </c>
      <c r="B179" s="47" t="s">
        <v>345</v>
      </c>
      <c r="C179" s="47" t="s">
        <v>301</v>
      </c>
      <c r="D179" s="83" t="s">
        <v>190</v>
      </c>
      <c r="E179" s="43"/>
      <c r="F179" s="53">
        <v>87880646.929999992</v>
      </c>
      <c r="G179" s="53">
        <v>81729230.469999999</v>
      </c>
      <c r="H179" s="53">
        <v>81987195.109999999</v>
      </c>
    </row>
    <row r="180" spans="1:15" s="80" customFormat="1" x14ac:dyDescent="0.25">
      <c r="A180" s="91" t="s">
        <v>202</v>
      </c>
      <c r="B180" s="49" t="s">
        <v>345</v>
      </c>
      <c r="C180" s="49" t="s">
        <v>301</v>
      </c>
      <c r="D180" s="84" t="s">
        <v>203</v>
      </c>
      <c r="E180" s="40"/>
      <c r="F180" s="50">
        <v>87880646.929999992</v>
      </c>
      <c r="G180" s="50">
        <v>81729230.469999999</v>
      </c>
      <c r="H180" s="50">
        <v>81987195.109999999</v>
      </c>
    </row>
    <row r="181" spans="1:15" s="82" customFormat="1" ht="75.75" x14ac:dyDescent="0.25">
      <c r="A181" s="26" t="s">
        <v>193</v>
      </c>
      <c r="B181" s="49" t="s">
        <v>345</v>
      </c>
      <c r="C181" s="49" t="s">
        <v>301</v>
      </c>
      <c r="D181" s="84" t="s">
        <v>203</v>
      </c>
      <c r="E181" s="40">
        <v>100</v>
      </c>
      <c r="F181" s="50">
        <v>74193677.159999996</v>
      </c>
      <c r="G181" s="50">
        <v>74163704.129999995</v>
      </c>
      <c r="H181" s="50">
        <v>74163704.129999995</v>
      </c>
    </row>
    <row r="182" spans="1:15" s="82" customFormat="1" ht="30.75" x14ac:dyDescent="0.25">
      <c r="A182" s="26" t="s">
        <v>194</v>
      </c>
      <c r="B182" s="49" t="s">
        <v>345</v>
      </c>
      <c r="C182" s="49" t="s">
        <v>301</v>
      </c>
      <c r="D182" s="84" t="s">
        <v>203</v>
      </c>
      <c r="E182" s="40">
        <v>200</v>
      </c>
      <c r="F182" s="50">
        <v>11086969.77</v>
      </c>
      <c r="G182" s="50">
        <v>7565526.3399999999</v>
      </c>
      <c r="H182" s="50">
        <v>7823490.9800000004</v>
      </c>
    </row>
    <row r="183" spans="1:15" s="82" customFormat="1" x14ac:dyDescent="0.25">
      <c r="A183" s="25" t="s">
        <v>196</v>
      </c>
      <c r="B183" s="49" t="s">
        <v>345</v>
      </c>
      <c r="C183" s="49" t="s">
        <v>301</v>
      </c>
      <c r="D183" s="84" t="s">
        <v>203</v>
      </c>
      <c r="E183" s="40">
        <v>800</v>
      </c>
      <c r="F183" s="50">
        <v>2600000</v>
      </c>
      <c r="G183" s="50">
        <v>0</v>
      </c>
      <c r="H183" s="50">
        <v>0</v>
      </c>
    </row>
    <row r="184" spans="1:15" s="82" customFormat="1" x14ac:dyDescent="0.25">
      <c r="A184" s="28" t="s">
        <v>206</v>
      </c>
      <c r="B184" s="47" t="s">
        <v>345</v>
      </c>
      <c r="C184" s="47" t="s">
        <v>301</v>
      </c>
      <c r="D184" s="83" t="s">
        <v>190</v>
      </c>
      <c r="E184" s="43"/>
      <c r="F184" s="48">
        <v>94021589.730000004</v>
      </c>
      <c r="G184" s="48">
        <v>97420800</v>
      </c>
      <c r="H184" s="48">
        <v>97420800</v>
      </c>
    </row>
    <row r="185" spans="1:15" s="82" customFormat="1" x14ac:dyDescent="0.25">
      <c r="A185" s="25" t="s">
        <v>202</v>
      </c>
      <c r="B185" s="49" t="s">
        <v>345</v>
      </c>
      <c r="C185" s="49" t="s">
        <v>301</v>
      </c>
      <c r="D185" s="84" t="s">
        <v>203</v>
      </c>
      <c r="E185" s="40"/>
      <c r="F185" s="50">
        <v>94021589.730000004</v>
      </c>
      <c r="G185" s="50">
        <v>97420800</v>
      </c>
      <c r="H185" s="50">
        <v>97420800</v>
      </c>
    </row>
    <row r="186" spans="1:15" s="82" customFormat="1" ht="75.75" x14ac:dyDescent="0.25">
      <c r="A186" s="26" t="s">
        <v>193</v>
      </c>
      <c r="B186" s="49" t="s">
        <v>345</v>
      </c>
      <c r="C186" s="49" t="s">
        <v>301</v>
      </c>
      <c r="D186" s="84" t="s">
        <v>203</v>
      </c>
      <c r="E186" s="40">
        <v>100</v>
      </c>
      <c r="F186" s="51">
        <v>86570549.730000004</v>
      </c>
      <c r="G186" s="51">
        <v>86918500</v>
      </c>
      <c r="H186" s="51">
        <v>86918500</v>
      </c>
    </row>
    <row r="187" spans="1:15" s="82" customFormat="1" ht="30.75" x14ac:dyDescent="0.25">
      <c r="A187" s="26" t="s">
        <v>194</v>
      </c>
      <c r="B187" s="49" t="s">
        <v>345</v>
      </c>
      <c r="C187" s="49" t="s">
        <v>301</v>
      </c>
      <c r="D187" s="84" t="s">
        <v>203</v>
      </c>
      <c r="E187" s="40">
        <v>200</v>
      </c>
      <c r="F187" s="51">
        <v>6950747.3700000001</v>
      </c>
      <c r="G187" s="51">
        <v>10476500</v>
      </c>
      <c r="H187" s="51">
        <v>10476500</v>
      </c>
    </row>
    <row r="188" spans="1:15" s="82" customFormat="1" x14ac:dyDescent="0.25">
      <c r="A188" s="26" t="s">
        <v>195</v>
      </c>
      <c r="B188" s="49" t="s">
        <v>345</v>
      </c>
      <c r="C188" s="49" t="s">
        <v>301</v>
      </c>
      <c r="D188" s="84" t="s">
        <v>203</v>
      </c>
      <c r="E188" s="40">
        <v>300</v>
      </c>
      <c r="F188" s="51">
        <v>379492.63</v>
      </c>
      <c r="G188" s="51">
        <v>0</v>
      </c>
      <c r="H188" s="51">
        <v>0</v>
      </c>
    </row>
    <row r="189" spans="1:15" s="82" customFormat="1" x14ac:dyDescent="0.25">
      <c r="A189" s="25" t="s">
        <v>196</v>
      </c>
      <c r="B189" s="49" t="s">
        <v>345</v>
      </c>
      <c r="C189" s="49" t="s">
        <v>301</v>
      </c>
      <c r="D189" s="84" t="s">
        <v>203</v>
      </c>
      <c r="E189" s="40">
        <v>800</v>
      </c>
      <c r="F189" s="51">
        <v>120800</v>
      </c>
      <c r="G189" s="51">
        <v>25800</v>
      </c>
      <c r="H189" s="51">
        <v>25800</v>
      </c>
    </row>
    <row r="190" spans="1:15" s="82" customFormat="1" ht="31.5" x14ac:dyDescent="0.25">
      <c r="A190" s="28" t="s">
        <v>256</v>
      </c>
      <c r="B190" s="49" t="s">
        <v>345</v>
      </c>
      <c r="C190" s="49" t="s">
        <v>301</v>
      </c>
      <c r="D190" s="83" t="s">
        <v>257</v>
      </c>
      <c r="E190" s="40"/>
      <c r="F190" s="51">
        <v>170080852.59</v>
      </c>
      <c r="G190" s="51">
        <v>0</v>
      </c>
      <c r="H190" s="51">
        <v>0</v>
      </c>
    </row>
    <row r="191" spans="1:15" s="82" customFormat="1" x14ac:dyDescent="0.25">
      <c r="A191" s="25" t="s">
        <v>259</v>
      </c>
      <c r="B191" s="49" t="s">
        <v>345</v>
      </c>
      <c r="C191" s="49" t="s">
        <v>301</v>
      </c>
      <c r="D191" s="84" t="s">
        <v>260</v>
      </c>
      <c r="E191" s="40"/>
      <c r="F191" s="51">
        <v>170080852.59</v>
      </c>
      <c r="G191" s="51">
        <v>0</v>
      </c>
      <c r="H191" s="51">
        <v>0</v>
      </c>
    </row>
    <row r="192" spans="1:15" s="82" customFormat="1" ht="30.75" x14ac:dyDescent="0.25">
      <c r="A192" s="25" t="s">
        <v>261</v>
      </c>
      <c r="B192" s="49" t="s">
        <v>345</v>
      </c>
      <c r="C192" s="49" t="s">
        <v>301</v>
      </c>
      <c r="D192" s="84" t="s">
        <v>260</v>
      </c>
      <c r="E192" s="40">
        <v>400</v>
      </c>
      <c r="F192" s="51">
        <v>170080852.59</v>
      </c>
      <c r="G192" s="51">
        <v>0</v>
      </c>
      <c r="H192" s="51">
        <v>0</v>
      </c>
      <c r="O192" s="177"/>
    </row>
    <row r="193" spans="1:10" s="82" customFormat="1" x14ac:dyDescent="0.25">
      <c r="A193" s="30" t="s">
        <v>294</v>
      </c>
      <c r="B193" s="49" t="s">
        <v>345</v>
      </c>
      <c r="C193" s="49" t="s">
        <v>301</v>
      </c>
      <c r="D193" s="55" t="s">
        <v>295</v>
      </c>
      <c r="E193" s="40"/>
      <c r="F193" s="53">
        <v>189137.86</v>
      </c>
      <c r="G193" s="53">
        <v>0</v>
      </c>
      <c r="H193" s="53">
        <v>0</v>
      </c>
    </row>
    <row r="194" spans="1:10" s="82" customFormat="1" x14ac:dyDescent="0.25">
      <c r="A194" s="26" t="s">
        <v>314</v>
      </c>
      <c r="B194" s="49" t="s">
        <v>345</v>
      </c>
      <c r="C194" s="49" t="s">
        <v>301</v>
      </c>
      <c r="D194" s="54" t="s">
        <v>315</v>
      </c>
      <c r="E194" s="40"/>
      <c r="F194" s="51">
        <v>189137.86</v>
      </c>
      <c r="G194" s="51">
        <v>0</v>
      </c>
      <c r="H194" s="51">
        <v>0</v>
      </c>
    </row>
    <row r="195" spans="1:10" s="82" customFormat="1" ht="30.75" x14ac:dyDescent="0.25">
      <c r="A195" s="26" t="s">
        <v>194</v>
      </c>
      <c r="B195" s="49" t="s">
        <v>345</v>
      </c>
      <c r="C195" s="49" t="s">
        <v>301</v>
      </c>
      <c r="D195" s="84" t="s">
        <v>315</v>
      </c>
      <c r="E195" s="40">
        <v>200</v>
      </c>
      <c r="F195" s="51">
        <v>189137.86</v>
      </c>
      <c r="G195" s="51">
        <v>0</v>
      </c>
      <c r="H195" s="51">
        <v>0</v>
      </c>
    </row>
    <row r="196" spans="1:10" s="82" customFormat="1" x14ac:dyDescent="0.25">
      <c r="A196" s="28" t="s">
        <v>394</v>
      </c>
      <c r="B196" s="47" t="s">
        <v>345</v>
      </c>
      <c r="C196" s="47" t="s">
        <v>345</v>
      </c>
      <c r="D196" s="43"/>
      <c r="E196" s="43"/>
      <c r="F196" s="48">
        <v>100571482.8</v>
      </c>
      <c r="G196" s="48">
        <v>82727641.400000006</v>
      </c>
      <c r="H196" s="48">
        <v>82727641.400000006</v>
      </c>
    </row>
    <row r="197" spans="1:10" s="82" customFormat="1" ht="47.25" x14ac:dyDescent="0.25">
      <c r="A197" s="28" t="s">
        <v>395</v>
      </c>
      <c r="B197" s="47" t="s">
        <v>345</v>
      </c>
      <c r="C197" s="47" t="s">
        <v>345</v>
      </c>
      <c r="D197" s="83" t="s">
        <v>232</v>
      </c>
      <c r="E197" s="43"/>
      <c r="F197" s="48">
        <v>32650488.800000001</v>
      </c>
      <c r="G197" s="48">
        <v>29675883.550000001</v>
      </c>
      <c r="H197" s="48">
        <v>29675883.550000001</v>
      </c>
    </row>
    <row r="198" spans="1:10" s="82" customFormat="1" x14ac:dyDescent="0.25">
      <c r="A198" s="25" t="s">
        <v>191</v>
      </c>
      <c r="B198" s="49" t="s">
        <v>345</v>
      </c>
      <c r="C198" s="49" t="s">
        <v>345</v>
      </c>
      <c r="D198" s="84" t="s">
        <v>233</v>
      </c>
      <c r="E198" s="40"/>
      <c r="F198" s="50">
        <v>17877488.469999999</v>
      </c>
      <c r="G198" s="50">
        <v>14522840.35</v>
      </c>
      <c r="H198" s="50">
        <v>14522840.35</v>
      </c>
    </row>
    <row r="199" spans="1:10" s="82" customFormat="1" ht="75.75" x14ac:dyDescent="0.25">
      <c r="A199" s="25" t="s">
        <v>193</v>
      </c>
      <c r="B199" s="49" t="s">
        <v>345</v>
      </c>
      <c r="C199" s="49" t="s">
        <v>345</v>
      </c>
      <c r="D199" s="84" t="s">
        <v>233</v>
      </c>
      <c r="E199" s="40">
        <v>100</v>
      </c>
      <c r="F199" s="50">
        <v>15772645.17</v>
      </c>
      <c r="G199" s="50">
        <v>13523598.93</v>
      </c>
      <c r="H199" s="50">
        <v>13523598.93</v>
      </c>
    </row>
    <row r="200" spans="1:10" s="82" customFormat="1" ht="30.75" x14ac:dyDescent="0.25">
      <c r="A200" s="26" t="s">
        <v>194</v>
      </c>
      <c r="B200" s="49" t="s">
        <v>345</v>
      </c>
      <c r="C200" s="49" t="s">
        <v>345</v>
      </c>
      <c r="D200" s="84" t="s">
        <v>233</v>
      </c>
      <c r="E200" s="40">
        <v>200</v>
      </c>
      <c r="F200" s="50">
        <v>2104843.2999999998</v>
      </c>
      <c r="G200" s="50">
        <v>999241.42</v>
      </c>
      <c r="H200" s="50">
        <v>999241.42</v>
      </c>
    </row>
    <row r="201" spans="1:10" s="93" customFormat="1" ht="30" x14ac:dyDescent="0.2">
      <c r="A201" s="25" t="s">
        <v>234</v>
      </c>
      <c r="B201" s="49" t="s">
        <v>345</v>
      </c>
      <c r="C201" s="49" t="s">
        <v>345</v>
      </c>
      <c r="D201" s="84" t="s">
        <v>235</v>
      </c>
      <c r="E201" s="40"/>
      <c r="F201" s="50">
        <v>12965895.959999999</v>
      </c>
      <c r="G201" s="50">
        <v>13290057.32</v>
      </c>
      <c r="H201" s="50">
        <v>13290057.32</v>
      </c>
      <c r="I201" s="92"/>
      <c r="J201" s="92"/>
    </row>
    <row r="202" spans="1:10" s="93" customFormat="1" ht="75" x14ac:dyDescent="0.2">
      <c r="A202" s="25" t="s">
        <v>193</v>
      </c>
      <c r="B202" s="49" t="s">
        <v>345</v>
      </c>
      <c r="C202" s="49" t="s">
        <v>345</v>
      </c>
      <c r="D202" s="84" t="s">
        <v>235</v>
      </c>
      <c r="E202" s="40">
        <v>100</v>
      </c>
      <c r="F202" s="50">
        <v>457203.75</v>
      </c>
      <c r="G202" s="50">
        <v>475491.9</v>
      </c>
      <c r="H202" s="50">
        <v>475491.9</v>
      </c>
      <c r="I202" s="92"/>
      <c r="J202" s="92"/>
    </row>
    <row r="203" spans="1:10" s="93" customFormat="1" ht="30" x14ac:dyDescent="0.2">
      <c r="A203" s="26" t="s">
        <v>194</v>
      </c>
      <c r="B203" s="49" t="s">
        <v>345</v>
      </c>
      <c r="C203" s="49" t="s">
        <v>345</v>
      </c>
      <c r="D203" s="84" t="s">
        <v>235</v>
      </c>
      <c r="E203" s="40">
        <v>200</v>
      </c>
      <c r="F203" s="50">
        <v>3727843.53</v>
      </c>
      <c r="G203" s="50">
        <v>3865609.31</v>
      </c>
      <c r="H203" s="50">
        <v>3865609.31</v>
      </c>
    </row>
    <row r="204" spans="1:10" s="93" customFormat="1" ht="15" x14ac:dyDescent="0.2">
      <c r="A204" s="25" t="s">
        <v>195</v>
      </c>
      <c r="B204" s="49" t="s">
        <v>345</v>
      </c>
      <c r="C204" s="49" t="s">
        <v>345</v>
      </c>
      <c r="D204" s="84" t="s">
        <v>235</v>
      </c>
      <c r="E204" s="40">
        <v>300</v>
      </c>
      <c r="F204" s="50">
        <v>8780848.6799999997</v>
      </c>
      <c r="G204" s="50">
        <v>8948956.1099999994</v>
      </c>
      <c r="H204" s="50">
        <v>8948956.1099999994</v>
      </c>
    </row>
    <row r="205" spans="1:10" s="93" customFormat="1" ht="30" x14ac:dyDescent="0.2">
      <c r="A205" s="25" t="s">
        <v>236</v>
      </c>
      <c r="B205" s="49" t="s">
        <v>345</v>
      </c>
      <c r="C205" s="49" t="s">
        <v>345</v>
      </c>
      <c r="D205" s="84" t="s">
        <v>237</v>
      </c>
      <c r="E205" s="40"/>
      <c r="F205" s="50">
        <v>805810.48</v>
      </c>
      <c r="G205" s="50">
        <v>829984.79</v>
      </c>
      <c r="H205" s="50">
        <v>829984.79</v>
      </c>
    </row>
    <row r="206" spans="1:10" s="93" customFormat="1" ht="30" x14ac:dyDescent="0.2">
      <c r="A206" s="26" t="s">
        <v>194</v>
      </c>
      <c r="B206" s="49" t="s">
        <v>345</v>
      </c>
      <c r="C206" s="49" t="s">
        <v>345</v>
      </c>
      <c r="D206" s="84" t="s">
        <v>237</v>
      </c>
      <c r="E206" s="40">
        <v>200</v>
      </c>
      <c r="F206" s="50">
        <v>264211.76</v>
      </c>
      <c r="G206" s="50">
        <v>272138.11</v>
      </c>
      <c r="H206" s="50">
        <v>272138.11</v>
      </c>
    </row>
    <row r="207" spans="1:10" s="93" customFormat="1" ht="15" x14ac:dyDescent="0.2">
      <c r="A207" s="25" t="s">
        <v>195</v>
      </c>
      <c r="B207" s="49" t="s">
        <v>345</v>
      </c>
      <c r="C207" s="49" t="s">
        <v>345</v>
      </c>
      <c r="D207" s="84" t="s">
        <v>237</v>
      </c>
      <c r="E207" s="40">
        <v>300</v>
      </c>
      <c r="F207" s="50">
        <v>541598.71999999997</v>
      </c>
      <c r="G207" s="50">
        <v>186531.68</v>
      </c>
      <c r="H207" s="50">
        <v>186531.68</v>
      </c>
    </row>
    <row r="208" spans="1:10" s="93" customFormat="1" ht="30" x14ac:dyDescent="0.2">
      <c r="A208" s="25" t="s">
        <v>201</v>
      </c>
      <c r="B208" s="49" t="s">
        <v>345</v>
      </c>
      <c r="C208" s="49" t="s">
        <v>345</v>
      </c>
      <c r="D208" s="84" t="s">
        <v>237</v>
      </c>
      <c r="E208" s="40">
        <v>600</v>
      </c>
      <c r="F208" s="50">
        <v>0</v>
      </c>
      <c r="G208" s="50">
        <v>371315</v>
      </c>
      <c r="H208" s="50">
        <v>371315</v>
      </c>
    </row>
    <row r="209" spans="1:8" s="93" customFormat="1" ht="15" hidden="1" x14ac:dyDescent="0.2">
      <c r="A209" s="25" t="s">
        <v>196</v>
      </c>
      <c r="B209" s="49" t="s">
        <v>345</v>
      </c>
      <c r="C209" s="49" t="s">
        <v>345</v>
      </c>
      <c r="D209" s="84" t="s">
        <v>237</v>
      </c>
      <c r="E209" s="40">
        <v>800</v>
      </c>
      <c r="F209" s="50">
        <v>0</v>
      </c>
      <c r="G209" s="50">
        <v>0</v>
      </c>
      <c r="H209" s="50">
        <v>0</v>
      </c>
    </row>
    <row r="210" spans="1:8" s="93" customFormat="1" ht="30" x14ac:dyDescent="0.2">
      <c r="A210" s="26" t="s">
        <v>396</v>
      </c>
      <c r="B210" s="49" t="s">
        <v>345</v>
      </c>
      <c r="C210" s="49" t="s">
        <v>345</v>
      </c>
      <c r="D210" s="49" t="s">
        <v>240</v>
      </c>
      <c r="E210" s="49"/>
      <c r="F210" s="50">
        <v>1001293.89</v>
      </c>
      <c r="G210" s="50">
        <v>1033001.09</v>
      </c>
      <c r="H210" s="50">
        <v>1033001.09</v>
      </c>
    </row>
    <row r="211" spans="1:8" s="93" customFormat="1" ht="30" x14ac:dyDescent="0.2">
      <c r="A211" s="26" t="s">
        <v>194</v>
      </c>
      <c r="B211" s="49" t="s">
        <v>345</v>
      </c>
      <c r="C211" s="49" t="s">
        <v>345</v>
      </c>
      <c r="D211" s="49" t="s">
        <v>240</v>
      </c>
      <c r="E211" s="49" t="s">
        <v>241</v>
      </c>
      <c r="F211" s="50">
        <v>1001293.89</v>
      </c>
      <c r="G211" s="50">
        <v>1033001.09</v>
      </c>
      <c r="H211" s="50">
        <v>1033001.09</v>
      </c>
    </row>
    <row r="212" spans="1:8" s="93" customFormat="1" x14ac:dyDescent="0.25">
      <c r="A212" s="28" t="s">
        <v>397</v>
      </c>
      <c r="B212" s="47" t="s">
        <v>345</v>
      </c>
      <c r="C212" s="47" t="s">
        <v>345</v>
      </c>
      <c r="D212" s="83" t="s">
        <v>190</v>
      </c>
      <c r="E212" s="43"/>
      <c r="F212" s="48">
        <v>67920994</v>
      </c>
      <c r="G212" s="48">
        <v>53051757.850000001</v>
      </c>
      <c r="H212" s="48">
        <v>53051757.850000001</v>
      </c>
    </row>
    <row r="213" spans="1:8" s="93" customFormat="1" ht="15" x14ac:dyDescent="0.2">
      <c r="A213" s="25" t="s">
        <v>204</v>
      </c>
      <c r="B213" s="49" t="s">
        <v>345</v>
      </c>
      <c r="C213" s="49" t="s">
        <v>345</v>
      </c>
      <c r="D213" s="84" t="s">
        <v>205</v>
      </c>
      <c r="E213" s="40"/>
      <c r="F213" s="50">
        <v>67920994</v>
      </c>
      <c r="G213" s="50">
        <v>53051757.850000001</v>
      </c>
      <c r="H213" s="50">
        <v>53051757.850000001</v>
      </c>
    </row>
    <row r="214" spans="1:8" s="93" customFormat="1" ht="75" x14ac:dyDescent="0.2">
      <c r="A214" s="25" t="s">
        <v>193</v>
      </c>
      <c r="B214" s="49" t="s">
        <v>345</v>
      </c>
      <c r="C214" s="49" t="s">
        <v>345</v>
      </c>
      <c r="D214" s="84" t="s">
        <v>205</v>
      </c>
      <c r="E214" s="40">
        <v>100</v>
      </c>
      <c r="F214" s="50">
        <v>14767316</v>
      </c>
      <c r="G214" s="50">
        <v>0</v>
      </c>
      <c r="H214" s="50">
        <v>0</v>
      </c>
    </row>
    <row r="215" spans="1:8" s="93" customFormat="1" ht="30" x14ac:dyDescent="0.2">
      <c r="A215" s="26" t="s">
        <v>194</v>
      </c>
      <c r="B215" s="49" t="s">
        <v>345</v>
      </c>
      <c r="C215" s="49" t="s">
        <v>345</v>
      </c>
      <c r="D215" s="84" t="s">
        <v>205</v>
      </c>
      <c r="E215" s="40">
        <v>200</v>
      </c>
      <c r="F215" s="50">
        <v>22148784.670000002</v>
      </c>
      <c r="G215" s="50">
        <v>0</v>
      </c>
      <c r="H215" s="50">
        <v>0</v>
      </c>
    </row>
    <row r="216" spans="1:8" s="93" customFormat="1" ht="15" x14ac:dyDescent="0.2">
      <c r="A216" s="26" t="s">
        <v>195</v>
      </c>
      <c r="B216" s="49" t="s">
        <v>345</v>
      </c>
      <c r="C216" s="49" t="s">
        <v>345</v>
      </c>
      <c r="D216" s="84" t="s">
        <v>205</v>
      </c>
      <c r="E216" s="40">
        <v>300</v>
      </c>
      <c r="F216" s="50"/>
      <c r="G216" s="50"/>
      <c r="H216" s="50"/>
    </row>
    <row r="217" spans="1:8" s="93" customFormat="1" ht="30" x14ac:dyDescent="0.2">
      <c r="A217" s="25" t="s">
        <v>201</v>
      </c>
      <c r="B217" s="49" t="s">
        <v>345</v>
      </c>
      <c r="C217" s="49" t="s">
        <v>345</v>
      </c>
      <c r="D217" s="84" t="s">
        <v>205</v>
      </c>
      <c r="E217" s="40">
        <v>600</v>
      </c>
      <c r="F217" s="50">
        <v>31004893.329999998</v>
      </c>
      <c r="G217" s="50">
        <v>14026991.85</v>
      </c>
      <c r="H217" s="50">
        <v>14026991.85</v>
      </c>
    </row>
    <row r="218" spans="1:8" s="93" customFormat="1" ht="15" x14ac:dyDescent="0.2">
      <c r="A218" s="25" t="s">
        <v>196</v>
      </c>
      <c r="B218" s="49" t="s">
        <v>345</v>
      </c>
      <c r="C218" s="49" t="s">
        <v>345</v>
      </c>
      <c r="D218" s="84" t="s">
        <v>205</v>
      </c>
      <c r="E218" s="40">
        <v>800</v>
      </c>
      <c r="F218" s="50">
        <v>0</v>
      </c>
      <c r="G218" s="50">
        <v>39024766</v>
      </c>
      <c r="H218" s="50">
        <v>39024766</v>
      </c>
    </row>
    <row r="219" spans="1:8" s="94" customFormat="1" x14ac:dyDescent="0.25">
      <c r="A219" s="28" t="s">
        <v>349</v>
      </c>
      <c r="B219" s="47" t="s">
        <v>345</v>
      </c>
      <c r="C219" s="47" t="s">
        <v>350</v>
      </c>
      <c r="D219" s="43"/>
      <c r="E219" s="43"/>
      <c r="F219" s="48">
        <v>80628461.640000001</v>
      </c>
      <c r="G219" s="48">
        <v>83274533</v>
      </c>
      <c r="H219" s="48">
        <v>83274533</v>
      </c>
    </row>
    <row r="220" spans="1:8" s="94" customFormat="1" x14ac:dyDescent="0.25">
      <c r="A220" s="28" t="s">
        <v>189</v>
      </c>
      <c r="B220" s="47" t="s">
        <v>345</v>
      </c>
      <c r="C220" s="47" t="s">
        <v>350</v>
      </c>
      <c r="D220" s="83" t="s">
        <v>190</v>
      </c>
      <c r="E220" s="43"/>
      <c r="F220" s="48">
        <v>80628461.640000001</v>
      </c>
      <c r="G220" s="48">
        <v>83274533</v>
      </c>
      <c r="H220" s="48">
        <v>83274533</v>
      </c>
    </row>
    <row r="221" spans="1:8" s="94" customFormat="1" ht="15" x14ac:dyDescent="0.2">
      <c r="A221" s="25" t="s">
        <v>398</v>
      </c>
      <c r="B221" s="49" t="s">
        <v>345</v>
      </c>
      <c r="C221" s="49" t="s">
        <v>350</v>
      </c>
      <c r="D221" s="84" t="s">
        <v>192</v>
      </c>
      <c r="E221" s="40"/>
      <c r="F221" s="50">
        <v>80628461.640000001</v>
      </c>
      <c r="G221" s="50">
        <v>83274533</v>
      </c>
      <c r="H221" s="50">
        <v>83274533</v>
      </c>
    </row>
    <row r="222" spans="1:8" s="94" customFormat="1" ht="75" x14ac:dyDescent="0.2">
      <c r="A222" s="25" t="s">
        <v>193</v>
      </c>
      <c r="B222" s="49" t="s">
        <v>345</v>
      </c>
      <c r="C222" s="49" t="s">
        <v>350</v>
      </c>
      <c r="D222" s="84" t="s">
        <v>192</v>
      </c>
      <c r="E222" s="40">
        <v>100</v>
      </c>
      <c r="F222" s="79">
        <v>51691348</v>
      </c>
      <c r="G222" s="79">
        <v>51577456</v>
      </c>
      <c r="H222" s="79">
        <v>51577456</v>
      </c>
    </row>
    <row r="223" spans="1:8" s="94" customFormat="1" ht="30" x14ac:dyDescent="0.2">
      <c r="A223" s="26" t="s">
        <v>194</v>
      </c>
      <c r="B223" s="49" t="s">
        <v>345</v>
      </c>
      <c r="C223" s="49" t="s">
        <v>350</v>
      </c>
      <c r="D223" s="84" t="s">
        <v>192</v>
      </c>
      <c r="E223" s="40">
        <v>200</v>
      </c>
      <c r="F223" s="79">
        <v>9979362.9399999995</v>
      </c>
      <c r="G223" s="79">
        <v>11142077</v>
      </c>
      <c r="H223" s="79">
        <v>11142077</v>
      </c>
    </row>
    <row r="224" spans="1:8" s="95" customFormat="1" ht="15" x14ac:dyDescent="0.2">
      <c r="A224" s="25" t="s">
        <v>195</v>
      </c>
      <c r="B224" s="49" t="s">
        <v>345</v>
      </c>
      <c r="C224" s="49" t="s">
        <v>350</v>
      </c>
      <c r="D224" s="84" t="s">
        <v>192</v>
      </c>
      <c r="E224" s="40">
        <v>300</v>
      </c>
      <c r="F224" s="79">
        <v>18957750.699999999</v>
      </c>
      <c r="G224" s="79">
        <v>16555000</v>
      </c>
      <c r="H224" s="79">
        <v>16555000</v>
      </c>
    </row>
    <row r="225" spans="1:8" s="95" customFormat="1" ht="15" x14ac:dyDescent="0.2">
      <c r="A225" s="25" t="s">
        <v>196</v>
      </c>
      <c r="B225" s="49" t="s">
        <v>345</v>
      </c>
      <c r="C225" s="49" t="s">
        <v>350</v>
      </c>
      <c r="D225" s="84" t="s">
        <v>192</v>
      </c>
      <c r="E225" s="40">
        <v>800</v>
      </c>
      <c r="F225" s="79">
        <v>0</v>
      </c>
      <c r="G225" s="79">
        <v>4000000</v>
      </c>
      <c r="H225" s="79">
        <v>4000000</v>
      </c>
    </row>
    <row r="226" spans="1:8" s="95" customFormat="1" hidden="1" x14ac:dyDescent="0.25">
      <c r="A226" s="30" t="s">
        <v>294</v>
      </c>
      <c r="B226" s="49" t="s">
        <v>345</v>
      </c>
      <c r="C226" s="49" t="s">
        <v>350</v>
      </c>
      <c r="D226" s="55" t="s">
        <v>295</v>
      </c>
      <c r="E226" s="43"/>
      <c r="F226" s="79">
        <v>0</v>
      </c>
      <c r="G226" s="79">
        <v>0</v>
      </c>
      <c r="H226" s="79">
        <v>0</v>
      </c>
    </row>
    <row r="227" spans="1:8" s="95" customFormat="1" ht="15" hidden="1" x14ac:dyDescent="0.2">
      <c r="A227" s="26" t="s">
        <v>314</v>
      </c>
      <c r="B227" s="49" t="s">
        <v>345</v>
      </c>
      <c r="C227" s="49" t="s">
        <v>350</v>
      </c>
      <c r="D227" s="54" t="s">
        <v>315</v>
      </c>
      <c r="E227" s="40"/>
      <c r="F227" s="79">
        <v>0</v>
      </c>
      <c r="G227" s="79">
        <v>0</v>
      </c>
      <c r="H227" s="79">
        <v>0</v>
      </c>
    </row>
    <row r="228" spans="1:8" s="95" customFormat="1" ht="30" hidden="1" x14ac:dyDescent="0.2">
      <c r="A228" s="26" t="s">
        <v>194</v>
      </c>
      <c r="B228" s="49" t="s">
        <v>345</v>
      </c>
      <c r="C228" s="49" t="s">
        <v>350</v>
      </c>
      <c r="D228" s="54" t="s">
        <v>315</v>
      </c>
      <c r="E228" s="40">
        <v>200</v>
      </c>
      <c r="F228" s="79">
        <v>0</v>
      </c>
      <c r="G228" s="79">
        <v>0</v>
      </c>
      <c r="H228" s="79">
        <v>0</v>
      </c>
    </row>
    <row r="229" spans="1:8" s="94" customFormat="1" x14ac:dyDescent="0.25">
      <c r="A229" s="28" t="s">
        <v>351</v>
      </c>
      <c r="B229" s="47" t="s">
        <v>352</v>
      </c>
      <c r="C229" s="47"/>
      <c r="D229" s="43"/>
      <c r="E229" s="43"/>
      <c r="F229" s="48">
        <v>144513697.06</v>
      </c>
      <c r="G229" s="48">
        <v>140336400</v>
      </c>
      <c r="H229" s="48">
        <v>140336400</v>
      </c>
    </row>
    <row r="230" spans="1:8" s="94" customFormat="1" x14ac:dyDescent="0.25">
      <c r="A230" s="28" t="s">
        <v>353</v>
      </c>
      <c r="B230" s="47" t="s">
        <v>352</v>
      </c>
      <c r="C230" s="47" t="s">
        <v>291</v>
      </c>
      <c r="D230" s="43"/>
      <c r="E230" s="43"/>
      <c r="F230" s="48">
        <v>104699698.59</v>
      </c>
      <c r="G230" s="48">
        <v>110420700</v>
      </c>
      <c r="H230" s="48">
        <v>110420700</v>
      </c>
    </row>
    <row r="231" spans="1:8" s="95" customFormat="1" x14ac:dyDescent="0.25">
      <c r="A231" s="28" t="s">
        <v>206</v>
      </c>
      <c r="B231" s="47" t="s">
        <v>352</v>
      </c>
      <c r="C231" s="47" t="s">
        <v>291</v>
      </c>
      <c r="D231" s="83" t="s">
        <v>207</v>
      </c>
      <c r="E231" s="43"/>
      <c r="F231" s="48">
        <v>103482417.59</v>
      </c>
      <c r="G231" s="48">
        <v>109520700</v>
      </c>
      <c r="H231" s="48">
        <v>109520700</v>
      </c>
    </row>
    <row r="232" spans="1:8" s="95" customFormat="1" ht="30" x14ac:dyDescent="0.2">
      <c r="A232" s="25" t="s">
        <v>209</v>
      </c>
      <c r="B232" s="49" t="s">
        <v>352</v>
      </c>
      <c r="C232" s="49" t="s">
        <v>291</v>
      </c>
      <c r="D232" s="84" t="s">
        <v>210</v>
      </c>
      <c r="E232" s="40"/>
      <c r="F232" s="50">
        <v>2248800</v>
      </c>
      <c r="G232" s="50">
        <v>2480300</v>
      </c>
      <c r="H232" s="50">
        <v>2480300</v>
      </c>
    </row>
    <row r="233" spans="1:8" s="94" customFormat="1" ht="30" x14ac:dyDescent="0.2">
      <c r="A233" s="26" t="s">
        <v>194</v>
      </c>
      <c r="B233" s="49" t="s">
        <v>352</v>
      </c>
      <c r="C233" s="49" t="s">
        <v>291</v>
      </c>
      <c r="D233" s="84" t="s">
        <v>210</v>
      </c>
      <c r="E233" s="40">
        <v>200</v>
      </c>
      <c r="F233" s="50">
        <v>2238800</v>
      </c>
      <c r="G233" s="50">
        <v>2470300</v>
      </c>
      <c r="H233" s="50">
        <v>2470300</v>
      </c>
    </row>
    <row r="234" spans="1:8" s="95" customFormat="1" ht="15" x14ac:dyDescent="0.2">
      <c r="A234" s="25" t="s">
        <v>196</v>
      </c>
      <c r="B234" s="49" t="s">
        <v>352</v>
      </c>
      <c r="C234" s="49" t="s">
        <v>291</v>
      </c>
      <c r="D234" s="84" t="s">
        <v>210</v>
      </c>
      <c r="E234" s="40">
        <v>800</v>
      </c>
      <c r="F234" s="50">
        <v>10000</v>
      </c>
      <c r="G234" s="50">
        <v>10000</v>
      </c>
      <c r="H234" s="50">
        <v>10000</v>
      </c>
    </row>
    <row r="235" spans="1:8" s="95" customFormat="1" ht="45" x14ac:dyDescent="0.2">
      <c r="A235" s="96" t="s">
        <v>399</v>
      </c>
      <c r="B235" s="49" t="s">
        <v>352</v>
      </c>
      <c r="C235" s="49" t="s">
        <v>291</v>
      </c>
      <c r="D235" s="84" t="s">
        <v>211</v>
      </c>
      <c r="E235" s="40"/>
      <c r="F235" s="50">
        <v>101233617.59</v>
      </c>
      <c r="G235" s="50">
        <v>107040400</v>
      </c>
      <c r="H235" s="50">
        <v>107040400</v>
      </c>
    </row>
    <row r="236" spans="1:8" s="95" customFormat="1" ht="15" x14ac:dyDescent="0.2">
      <c r="A236" s="97" t="s">
        <v>465</v>
      </c>
      <c r="B236" s="49" t="s">
        <v>352</v>
      </c>
      <c r="C236" s="49" t="s">
        <v>291</v>
      </c>
      <c r="D236" s="84" t="s">
        <v>282</v>
      </c>
      <c r="E236" s="40"/>
      <c r="F236" s="50">
        <v>79622317.590000004</v>
      </c>
      <c r="G236" s="50">
        <v>83746900</v>
      </c>
      <c r="H236" s="50">
        <v>83746900</v>
      </c>
    </row>
    <row r="237" spans="1:8" s="95" customFormat="1" ht="75" x14ac:dyDescent="0.2">
      <c r="A237" s="25" t="s">
        <v>193</v>
      </c>
      <c r="B237" s="49" t="s">
        <v>352</v>
      </c>
      <c r="C237" s="49" t="s">
        <v>291</v>
      </c>
      <c r="D237" s="84" t="s">
        <v>282</v>
      </c>
      <c r="E237" s="40">
        <v>100</v>
      </c>
      <c r="F237" s="79">
        <v>62881475.590000004</v>
      </c>
      <c r="G237" s="79">
        <v>63476900</v>
      </c>
      <c r="H237" s="79">
        <v>63476900</v>
      </c>
    </row>
    <row r="238" spans="1:8" s="95" customFormat="1" ht="30" x14ac:dyDescent="0.2">
      <c r="A238" s="26" t="s">
        <v>194</v>
      </c>
      <c r="B238" s="49" t="s">
        <v>352</v>
      </c>
      <c r="C238" s="49" t="s">
        <v>291</v>
      </c>
      <c r="D238" s="84" t="s">
        <v>282</v>
      </c>
      <c r="E238" s="40">
        <v>200</v>
      </c>
      <c r="F238" s="79">
        <v>15926742</v>
      </c>
      <c r="G238" s="79">
        <v>19748900</v>
      </c>
      <c r="H238" s="79">
        <v>19748900</v>
      </c>
    </row>
    <row r="239" spans="1:8" s="95" customFormat="1" ht="15" x14ac:dyDescent="0.2">
      <c r="A239" s="25" t="s">
        <v>195</v>
      </c>
      <c r="B239" s="49" t="s">
        <v>352</v>
      </c>
      <c r="C239" s="49" t="s">
        <v>291</v>
      </c>
      <c r="D239" s="84" t="s">
        <v>282</v>
      </c>
      <c r="E239" s="40">
        <v>300</v>
      </c>
      <c r="F239" s="79">
        <v>50000</v>
      </c>
      <c r="G239" s="79">
        <v>0</v>
      </c>
      <c r="H239" s="79">
        <v>0</v>
      </c>
    </row>
    <row r="240" spans="1:8" s="95" customFormat="1" ht="15" x14ac:dyDescent="0.2">
      <c r="A240" s="25" t="s">
        <v>196</v>
      </c>
      <c r="B240" s="49" t="s">
        <v>352</v>
      </c>
      <c r="C240" s="49" t="s">
        <v>291</v>
      </c>
      <c r="D240" s="84" t="s">
        <v>282</v>
      </c>
      <c r="E240" s="40">
        <v>800</v>
      </c>
      <c r="F240" s="79">
        <v>764100</v>
      </c>
      <c r="G240" s="79">
        <v>521100</v>
      </c>
      <c r="H240" s="79">
        <v>521100</v>
      </c>
    </row>
    <row r="241" spans="1:8" s="95" customFormat="1" ht="15" x14ac:dyDescent="0.2">
      <c r="A241" s="25" t="s">
        <v>466</v>
      </c>
      <c r="B241" s="49" t="s">
        <v>352</v>
      </c>
      <c r="C241" s="49" t="s">
        <v>291</v>
      </c>
      <c r="D241" s="84" t="s">
        <v>283</v>
      </c>
      <c r="E241" s="40"/>
      <c r="F241" s="79">
        <v>21611300</v>
      </c>
      <c r="G241" s="79">
        <v>23293500</v>
      </c>
      <c r="H241" s="79">
        <v>23293500</v>
      </c>
    </row>
    <row r="242" spans="1:8" s="95" customFormat="1" ht="75" x14ac:dyDescent="0.2">
      <c r="A242" s="25" t="s">
        <v>193</v>
      </c>
      <c r="B242" s="49" t="s">
        <v>352</v>
      </c>
      <c r="C242" s="49" t="s">
        <v>291</v>
      </c>
      <c r="D242" s="84" t="s">
        <v>283</v>
      </c>
      <c r="E242" s="40">
        <v>100</v>
      </c>
      <c r="F242" s="79">
        <v>19983700</v>
      </c>
      <c r="G242" s="79">
        <v>20169700</v>
      </c>
      <c r="H242" s="79">
        <v>20169700</v>
      </c>
    </row>
    <row r="243" spans="1:8" s="95" customFormat="1" ht="30" x14ac:dyDescent="0.2">
      <c r="A243" s="26" t="s">
        <v>194</v>
      </c>
      <c r="B243" s="49" t="s">
        <v>352</v>
      </c>
      <c r="C243" s="49" t="s">
        <v>291</v>
      </c>
      <c r="D243" s="84" t="s">
        <v>283</v>
      </c>
      <c r="E243" s="40">
        <v>200</v>
      </c>
      <c r="F243" s="79">
        <v>1354000</v>
      </c>
      <c r="G243" s="79">
        <v>3036200</v>
      </c>
      <c r="H243" s="79">
        <v>3036200</v>
      </c>
    </row>
    <row r="244" spans="1:8" s="95" customFormat="1" ht="15" x14ac:dyDescent="0.2">
      <c r="A244" s="26" t="s">
        <v>195</v>
      </c>
      <c r="B244" s="49" t="s">
        <v>352</v>
      </c>
      <c r="C244" s="49" t="s">
        <v>291</v>
      </c>
      <c r="D244" s="84" t="s">
        <v>283</v>
      </c>
      <c r="E244" s="40">
        <v>300</v>
      </c>
      <c r="F244" s="79">
        <v>186000</v>
      </c>
      <c r="G244" s="79">
        <v>0</v>
      </c>
      <c r="H244" s="79">
        <v>0</v>
      </c>
    </row>
    <row r="245" spans="1:8" s="95" customFormat="1" ht="15" x14ac:dyDescent="0.2">
      <c r="A245" s="25" t="s">
        <v>196</v>
      </c>
      <c r="B245" s="49" t="s">
        <v>352</v>
      </c>
      <c r="C245" s="49" t="s">
        <v>291</v>
      </c>
      <c r="D245" s="84" t="s">
        <v>283</v>
      </c>
      <c r="E245" s="40">
        <v>800</v>
      </c>
      <c r="F245" s="79">
        <v>87600</v>
      </c>
      <c r="G245" s="79">
        <v>87600</v>
      </c>
      <c r="H245" s="79">
        <v>87600</v>
      </c>
    </row>
    <row r="246" spans="1:8" s="94" customFormat="1" ht="31.5" hidden="1" x14ac:dyDescent="0.25">
      <c r="A246" s="29" t="s">
        <v>212</v>
      </c>
      <c r="B246" s="47" t="s">
        <v>352</v>
      </c>
      <c r="C246" s="47" t="s">
        <v>291</v>
      </c>
      <c r="D246" s="83" t="s">
        <v>213</v>
      </c>
      <c r="E246" s="43"/>
      <c r="F246" s="98">
        <v>0</v>
      </c>
      <c r="G246" s="98">
        <v>0</v>
      </c>
      <c r="H246" s="98">
        <v>0</v>
      </c>
    </row>
    <row r="247" spans="1:8" s="95" customFormat="1" ht="30" hidden="1" x14ac:dyDescent="0.2">
      <c r="A247" s="25" t="s">
        <v>214</v>
      </c>
      <c r="B247" s="49" t="s">
        <v>352</v>
      </c>
      <c r="C247" s="49" t="s">
        <v>291</v>
      </c>
      <c r="D247" s="84" t="s">
        <v>213</v>
      </c>
      <c r="E247" s="40">
        <v>400</v>
      </c>
      <c r="F247" s="79">
        <v>0</v>
      </c>
      <c r="G247" s="79">
        <v>0</v>
      </c>
      <c r="H247" s="79">
        <v>0</v>
      </c>
    </row>
    <row r="248" spans="1:8" s="95" customFormat="1" ht="31.5" x14ac:dyDescent="0.25">
      <c r="A248" s="28" t="s">
        <v>280</v>
      </c>
      <c r="B248" s="49" t="s">
        <v>352</v>
      </c>
      <c r="C248" s="49" t="s">
        <v>291</v>
      </c>
      <c r="D248" s="83" t="s">
        <v>400</v>
      </c>
      <c r="E248" s="43"/>
      <c r="F248" s="98">
        <v>1217281</v>
      </c>
      <c r="G248" s="98">
        <v>0</v>
      </c>
      <c r="H248" s="98">
        <v>0</v>
      </c>
    </row>
    <row r="249" spans="1:8" s="95" customFormat="1" ht="31.5" x14ac:dyDescent="0.25">
      <c r="A249" s="28" t="s">
        <v>281</v>
      </c>
      <c r="B249" s="49" t="s">
        <v>352</v>
      </c>
      <c r="C249" s="49" t="s">
        <v>291</v>
      </c>
      <c r="D249" s="83" t="s">
        <v>401</v>
      </c>
      <c r="E249" s="43"/>
      <c r="F249" s="98">
        <v>1217281</v>
      </c>
      <c r="G249" s="98">
        <v>0</v>
      </c>
      <c r="H249" s="98">
        <v>0</v>
      </c>
    </row>
    <row r="250" spans="1:8" s="95" customFormat="1" ht="30" x14ac:dyDescent="0.2">
      <c r="A250" s="25" t="s">
        <v>214</v>
      </c>
      <c r="B250" s="49" t="s">
        <v>352</v>
      </c>
      <c r="C250" s="49" t="s">
        <v>291</v>
      </c>
      <c r="D250" s="84" t="s">
        <v>401</v>
      </c>
      <c r="E250" s="40">
        <v>400</v>
      </c>
      <c r="F250" s="79">
        <v>1217281</v>
      </c>
      <c r="G250" s="79">
        <v>0</v>
      </c>
      <c r="H250" s="79">
        <v>0</v>
      </c>
    </row>
    <row r="251" spans="1:8" s="94" customFormat="1" x14ac:dyDescent="0.25">
      <c r="A251" s="30" t="s">
        <v>294</v>
      </c>
      <c r="B251" s="47" t="s">
        <v>352</v>
      </c>
      <c r="C251" s="47" t="s">
        <v>291</v>
      </c>
      <c r="D251" s="47" t="s">
        <v>295</v>
      </c>
      <c r="E251" s="43"/>
      <c r="F251" s="98">
        <v>0</v>
      </c>
      <c r="G251" s="98">
        <v>900000</v>
      </c>
      <c r="H251" s="98">
        <v>900000</v>
      </c>
    </row>
    <row r="252" spans="1:8" s="95" customFormat="1" ht="15" x14ac:dyDescent="0.2">
      <c r="A252" s="26" t="s">
        <v>314</v>
      </c>
      <c r="B252" s="49" t="s">
        <v>352</v>
      </c>
      <c r="C252" s="49" t="s">
        <v>291</v>
      </c>
      <c r="D252" s="49" t="s">
        <v>315</v>
      </c>
      <c r="E252" s="40"/>
      <c r="F252" s="79">
        <v>0</v>
      </c>
      <c r="G252" s="79">
        <v>900000</v>
      </c>
      <c r="H252" s="79">
        <v>900000</v>
      </c>
    </row>
    <row r="253" spans="1:8" s="95" customFormat="1" ht="30" x14ac:dyDescent="0.2">
      <c r="A253" s="26" t="s">
        <v>194</v>
      </c>
      <c r="B253" s="49" t="s">
        <v>352</v>
      </c>
      <c r="C253" s="49" t="s">
        <v>291</v>
      </c>
      <c r="D253" s="49" t="s">
        <v>315</v>
      </c>
      <c r="E253" s="40">
        <v>200</v>
      </c>
      <c r="F253" s="79">
        <v>0</v>
      </c>
      <c r="G253" s="79">
        <v>900000</v>
      </c>
      <c r="H253" s="79">
        <v>900000</v>
      </c>
    </row>
    <row r="254" spans="1:8" s="94" customFormat="1" ht="31.5" x14ac:dyDescent="0.25">
      <c r="A254" s="28" t="s">
        <v>402</v>
      </c>
      <c r="B254" s="47" t="s">
        <v>352</v>
      </c>
      <c r="C254" s="47" t="s">
        <v>305</v>
      </c>
      <c r="D254" s="43"/>
      <c r="E254" s="43"/>
      <c r="F254" s="48">
        <v>39813998.469999999</v>
      </c>
      <c r="G254" s="48">
        <v>29915700</v>
      </c>
      <c r="H254" s="48">
        <v>29915700</v>
      </c>
    </row>
    <row r="255" spans="1:8" s="95" customFormat="1" x14ac:dyDescent="0.25">
      <c r="A255" s="28" t="s">
        <v>206</v>
      </c>
      <c r="B255" s="47" t="s">
        <v>352</v>
      </c>
      <c r="C255" s="47" t="s">
        <v>305</v>
      </c>
      <c r="D255" s="83" t="s">
        <v>207</v>
      </c>
      <c r="E255" s="43"/>
      <c r="F255" s="50">
        <v>39813998.469999999</v>
      </c>
      <c r="G255" s="50">
        <v>29915700</v>
      </c>
      <c r="H255" s="50">
        <v>29915700</v>
      </c>
    </row>
    <row r="256" spans="1:8" s="95" customFormat="1" ht="15" x14ac:dyDescent="0.2">
      <c r="A256" s="25" t="s">
        <v>191</v>
      </c>
      <c r="B256" s="49" t="s">
        <v>352</v>
      </c>
      <c r="C256" s="49" t="s">
        <v>305</v>
      </c>
      <c r="D256" s="84" t="s">
        <v>208</v>
      </c>
      <c r="E256" s="40"/>
      <c r="F256" s="50">
        <v>39813998.469999999</v>
      </c>
      <c r="G256" s="50">
        <v>29915700</v>
      </c>
      <c r="H256" s="50">
        <v>29915700</v>
      </c>
    </row>
    <row r="257" spans="1:8" s="94" customFormat="1" ht="75" x14ac:dyDescent="0.2">
      <c r="A257" s="25" t="s">
        <v>193</v>
      </c>
      <c r="B257" s="49" t="s">
        <v>352</v>
      </c>
      <c r="C257" s="49" t="s">
        <v>305</v>
      </c>
      <c r="D257" s="84" t="s">
        <v>208</v>
      </c>
      <c r="E257" s="40">
        <v>100</v>
      </c>
      <c r="F257" s="51">
        <v>22877053.559999999</v>
      </c>
      <c r="G257" s="51">
        <v>22773700</v>
      </c>
      <c r="H257" s="51">
        <v>22773700</v>
      </c>
    </row>
    <row r="258" spans="1:8" s="99" customFormat="1" ht="30" x14ac:dyDescent="0.2">
      <c r="A258" s="26" t="s">
        <v>194</v>
      </c>
      <c r="B258" s="49" t="s">
        <v>352</v>
      </c>
      <c r="C258" s="49" t="s">
        <v>305</v>
      </c>
      <c r="D258" s="84" t="s">
        <v>208</v>
      </c>
      <c r="E258" s="40">
        <v>200</v>
      </c>
      <c r="F258" s="51">
        <v>5556500</v>
      </c>
      <c r="G258" s="51">
        <v>7131700</v>
      </c>
      <c r="H258" s="51">
        <v>7131700</v>
      </c>
    </row>
    <row r="259" spans="1:8" s="99" customFormat="1" ht="15" x14ac:dyDescent="0.2">
      <c r="A259" s="26" t="s">
        <v>195</v>
      </c>
      <c r="B259" s="49" t="s">
        <v>352</v>
      </c>
      <c r="C259" s="49" t="s">
        <v>305</v>
      </c>
      <c r="D259" s="84" t="s">
        <v>208</v>
      </c>
      <c r="E259" s="40">
        <v>300</v>
      </c>
      <c r="F259" s="51">
        <v>335677.91</v>
      </c>
      <c r="G259" s="51">
        <v>0</v>
      </c>
      <c r="H259" s="51">
        <v>0</v>
      </c>
    </row>
    <row r="260" spans="1:8" s="94" customFormat="1" ht="15" x14ac:dyDescent="0.2">
      <c r="A260" s="25" t="s">
        <v>196</v>
      </c>
      <c r="B260" s="49" t="s">
        <v>352</v>
      </c>
      <c r="C260" s="49" t="s">
        <v>305</v>
      </c>
      <c r="D260" s="84" t="s">
        <v>208</v>
      </c>
      <c r="E260" s="40">
        <v>800</v>
      </c>
      <c r="F260" s="51">
        <v>11044767</v>
      </c>
      <c r="G260" s="51">
        <v>10300</v>
      </c>
      <c r="H260" s="51">
        <v>10300</v>
      </c>
    </row>
    <row r="261" spans="1:8" s="94" customFormat="1" x14ac:dyDescent="0.25">
      <c r="A261" s="28" t="s">
        <v>354</v>
      </c>
      <c r="B261" s="47" t="s">
        <v>350</v>
      </c>
      <c r="C261" s="47"/>
      <c r="D261" s="83"/>
      <c r="E261" s="43"/>
      <c r="F261" s="53">
        <v>35987448.380000003</v>
      </c>
      <c r="G261" s="53">
        <v>0</v>
      </c>
      <c r="H261" s="53">
        <v>0</v>
      </c>
    </row>
    <row r="262" spans="1:8" s="94" customFormat="1" x14ac:dyDescent="0.25">
      <c r="A262" s="28" t="s">
        <v>355</v>
      </c>
      <c r="B262" s="47" t="s">
        <v>350</v>
      </c>
      <c r="C262" s="47" t="s">
        <v>350</v>
      </c>
      <c r="D262" s="83"/>
      <c r="E262" s="43"/>
      <c r="F262" s="53">
        <v>35987448.380000003</v>
      </c>
      <c r="G262" s="53">
        <v>0</v>
      </c>
      <c r="H262" s="53">
        <v>0</v>
      </c>
    </row>
    <row r="263" spans="1:8" s="94" customFormat="1" x14ac:dyDescent="0.25">
      <c r="A263" s="30" t="s">
        <v>278</v>
      </c>
      <c r="B263" s="47" t="s">
        <v>350</v>
      </c>
      <c r="C263" s="47" t="s">
        <v>350</v>
      </c>
      <c r="D263" s="85">
        <v>1300000000</v>
      </c>
      <c r="E263" s="85"/>
      <c r="F263" s="51">
        <v>35987448.380000003</v>
      </c>
      <c r="G263" s="51">
        <v>0</v>
      </c>
      <c r="H263" s="51">
        <v>0</v>
      </c>
    </row>
    <row r="264" spans="1:8" s="95" customFormat="1" ht="45" x14ac:dyDescent="0.2">
      <c r="A264" s="100" t="s">
        <v>279</v>
      </c>
      <c r="B264" s="49" t="s">
        <v>350</v>
      </c>
      <c r="C264" s="49" t="s">
        <v>350</v>
      </c>
      <c r="D264" s="67">
        <v>1320000000</v>
      </c>
      <c r="E264" s="67"/>
      <c r="F264" s="51">
        <v>35987448.380000003</v>
      </c>
      <c r="G264" s="51">
        <v>0</v>
      </c>
      <c r="H264" s="51">
        <v>0</v>
      </c>
    </row>
    <row r="265" spans="1:8" s="95" customFormat="1" ht="30" x14ac:dyDescent="0.2">
      <c r="A265" s="26" t="s">
        <v>194</v>
      </c>
      <c r="B265" s="49" t="s">
        <v>350</v>
      </c>
      <c r="C265" s="49" t="s">
        <v>350</v>
      </c>
      <c r="D265" s="67">
        <v>1320000000</v>
      </c>
      <c r="E265" s="67">
        <v>200</v>
      </c>
      <c r="F265" s="51">
        <v>35987448.380000003</v>
      </c>
      <c r="G265" s="51">
        <v>0</v>
      </c>
      <c r="H265" s="51">
        <v>0</v>
      </c>
    </row>
    <row r="266" spans="1:8" s="95" customFormat="1" hidden="1" x14ac:dyDescent="0.25">
      <c r="A266" s="30" t="s">
        <v>294</v>
      </c>
      <c r="B266" s="47" t="s">
        <v>350</v>
      </c>
      <c r="C266" s="47" t="s">
        <v>350</v>
      </c>
      <c r="D266" s="47" t="s">
        <v>295</v>
      </c>
      <c r="E266" s="67"/>
      <c r="F266" s="53">
        <v>0</v>
      </c>
      <c r="G266" s="53">
        <v>0</v>
      </c>
      <c r="H266" s="53">
        <v>0</v>
      </c>
    </row>
    <row r="267" spans="1:8" s="95" customFormat="1" ht="15" hidden="1" x14ac:dyDescent="0.2">
      <c r="A267" s="26" t="s">
        <v>314</v>
      </c>
      <c r="B267" s="49" t="s">
        <v>350</v>
      </c>
      <c r="C267" s="49" t="s">
        <v>350</v>
      </c>
      <c r="D267" s="49" t="s">
        <v>315</v>
      </c>
      <c r="E267" s="67"/>
      <c r="F267" s="51">
        <v>0</v>
      </c>
      <c r="G267" s="51">
        <v>0</v>
      </c>
      <c r="H267" s="51">
        <v>0</v>
      </c>
    </row>
    <row r="268" spans="1:8" s="95" customFormat="1" ht="30" hidden="1" x14ac:dyDescent="0.2">
      <c r="A268" s="26" t="s">
        <v>194</v>
      </c>
      <c r="B268" s="49" t="s">
        <v>350</v>
      </c>
      <c r="C268" s="49" t="s">
        <v>350</v>
      </c>
      <c r="D268" s="49" t="s">
        <v>315</v>
      </c>
      <c r="E268" s="67">
        <v>200</v>
      </c>
      <c r="F268" s="51">
        <v>0</v>
      </c>
      <c r="G268" s="51">
        <v>0</v>
      </c>
      <c r="H268" s="51">
        <v>0</v>
      </c>
    </row>
    <row r="269" spans="1:8" s="94" customFormat="1" x14ac:dyDescent="0.25">
      <c r="A269" s="30" t="s">
        <v>356</v>
      </c>
      <c r="B269" s="47" t="s">
        <v>328</v>
      </c>
      <c r="C269" s="47"/>
      <c r="D269" s="47"/>
      <c r="E269" s="47"/>
      <c r="F269" s="48">
        <v>129942607.14999999</v>
      </c>
      <c r="G269" s="48">
        <v>100837436.25999999</v>
      </c>
      <c r="H269" s="48">
        <v>100645905.00999999</v>
      </c>
    </row>
    <row r="270" spans="1:8" s="94" customFormat="1" x14ac:dyDescent="0.25">
      <c r="A270" s="30" t="s">
        <v>357</v>
      </c>
      <c r="B270" s="47" t="s">
        <v>328</v>
      </c>
      <c r="C270" s="47" t="s">
        <v>291</v>
      </c>
      <c r="D270" s="47"/>
      <c r="E270" s="47"/>
      <c r="F270" s="48">
        <v>9396948.6799999997</v>
      </c>
      <c r="G270" s="48">
        <v>8199922</v>
      </c>
      <c r="H270" s="48">
        <v>8095922</v>
      </c>
    </row>
    <row r="271" spans="1:8" s="95" customFormat="1" x14ac:dyDescent="0.25">
      <c r="A271" s="30" t="s">
        <v>242</v>
      </c>
      <c r="B271" s="47" t="s">
        <v>328</v>
      </c>
      <c r="C271" s="47" t="s">
        <v>291</v>
      </c>
      <c r="D271" s="47" t="s">
        <v>243</v>
      </c>
      <c r="E271" s="47"/>
      <c r="F271" s="48">
        <v>5004552</v>
      </c>
      <c r="G271" s="48">
        <v>4327000</v>
      </c>
      <c r="H271" s="48">
        <v>4223000</v>
      </c>
    </row>
    <row r="272" spans="1:8" s="95" customFormat="1" ht="30" x14ac:dyDescent="0.2">
      <c r="A272" s="26" t="s">
        <v>244</v>
      </c>
      <c r="B272" s="49" t="s">
        <v>328</v>
      </c>
      <c r="C272" s="49" t="s">
        <v>291</v>
      </c>
      <c r="D272" s="49" t="s">
        <v>245</v>
      </c>
      <c r="E272" s="49"/>
      <c r="F272" s="50">
        <v>5004552</v>
      </c>
      <c r="G272" s="50">
        <v>4327000</v>
      </c>
      <c r="H272" s="50">
        <v>4223000</v>
      </c>
    </row>
    <row r="273" spans="1:8" s="95" customFormat="1" ht="15" x14ac:dyDescent="0.2">
      <c r="A273" s="26" t="s">
        <v>195</v>
      </c>
      <c r="B273" s="49" t="s">
        <v>328</v>
      </c>
      <c r="C273" s="49" t="s">
        <v>291</v>
      </c>
      <c r="D273" s="49" t="s">
        <v>245</v>
      </c>
      <c r="E273" s="49" t="s">
        <v>246</v>
      </c>
      <c r="F273" s="50">
        <v>5004552</v>
      </c>
      <c r="G273" s="50">
        <v>4327000</v>
      </c>
      <c r="H273" s="50">
        <v>4223000</v>
      </c>
    </row>
    <row r="274" spans="1:8" s="94" customFormat="1" x14ac:dyDescent="0.25">
      <c r="A274" s="30" t="s">
        <v>294</v>
      </c>
      <c r="B274" s="47" t="s">
        <v>328</v>
      </c>
      <c r="C274" s="47" t="s">
        <v>291</v>
      </c>
      <c r="D274" s="47" t="s">
        <v>295</v>
      </c>
      <c r="E274" s="47"/>
      <c r="F274" s="48">
        <v>4392396.68</v>
      </c>
      <c r="G274" s="48">
        <v>3872922</v>
      </c>
      <c r="H274" s="48">
        <v>3872922</v>
      </c>
    </row>
    <row r="275" spans="1:8" s="95" customFormat="1" ht="15" x14ac:dyDescent="0.2">
      <c r="A275" s="26" t="s">
        <v>314</v>
      </c>
      <c r="B275" s="49" t="s">
        <v>328</v>
      </c>
      <c r="C275" s="49" t="s">
        <v>291</v>
      </c>
      <c r="D275" s="49" t="s">
        <v>315</v>
      </c>
      <c r="E275" s="49"/>
      <c r="F275" s="50">
        <v>4392396.68</v>
      </c>
      <c r="G275" s="50">
        <v>3872922</v>
      </c>
      <c r="H275" s="50">
        <v>3872922</v>
      </c>
    </row>
    <row r="276" spans="1:8" s="94" customFormat="1" ht="15" x14ac:dyDescent="0.2">
      <c r="A276" s="26" t="s">
        <v>195</v>
      </c>
      <c r="B276" s="49" t="s">
        <v>328</v>
      </c>
      <c r="C276" s="49" t="s">
        <v>291</v>
      </c>
      <c r="D276" s="49" t="s">
        <v>315</v>
      </c>
      <c r="E276" s="49" t="s">
        <v>246</v>
      </c>
      <c r="F276" s="50">
        <v>4392396.68</v>
      </c>
      <c r="G276" s="50">
        <v>3872922</v>
      </c>
      <c r="H276" s="50">
        <v>3872922</v>
      </c>
    </row>
    <row r="277" spans="1:8" s="94" customFormat="1" x14ac:dyDescent="0.25">
      <c r="A277" s="30" t="s">
        <v>358</v>
      </c>
      <c r="B277" s="47" t="s">
        <v>328</v>
      </c>
      <c r="C277" s="47" t="s">
        <v>301</v>
      </c>
      <c r="D277" s="47"/>
      <c r="E277" s="47"/>
      <c r="F277" s="48">
        <v>61926706.989999995</v>
      </c>
      <c r="G277" s="48">
        <v>36900000</v>
      </c>
      <c r="H277" s="48">
        <v>36900000</v>
      </c>
    </row>
    <row r="278" spans="1:8" s="94" customFormat="1" ht="47.25" x14ac:dyDescent="0.25">
      <c r="A278" s="30" t="s">
        <v>249</v>
      </c>
      <c r="B278" s="47" t="s">
        <v>328</v>
      </c>
      <c r="C278" s="47" t="s">
        <v>301</v>
      </c>
      <c r="D278" s="47" t="s">
        <v>250</v>
      </c>
      <c r="E278" s="47"/>
      <c r="F278" s="48">
        <v>26099994.999999996</v>
      </c>
      <c r="G278" s="48">
        <v>30900000</v>
      </c>
      <c r="H278" s="48">
        <v>30900000</v>
      </c>
    </row>
    <row r="279" spans="1:8" s="80" customFormat="1" ht="30.75" x14ac:dyDescent="0.25">
      <c r="A279" s="26" t="s">
        <v>253</v>
      </c>
      <c r="B279" s="49" t="s">
        <v>328</v>
      </c>
      <c r="C279" s="49" t="s">
        <v>301</v>
      </c>
      <c r="D279" s="49" t="s">
        <v>254</v>
      </c>
      <c r="E279" s="49"/>
      <c r="F279" s="50">
        <v>26099994.999999996</v>
      </c>
      <c r="G279" s="50">
        <v>30900000</v>
      </c>
      <c r="H279" s="50">
        <v>30900000</v>
      </c>
    </row>
    <row r="280" spans="1:8" s="80" customFormat="1" x14ac:dyDescent="0.25">
      <c r="A280" s="26" t="s">
        <v>195</v>
      </c>
      <c r="B280" s="49" t="s">
        <v>328</v>
      </c>
      <c r="C280" s="49" t="s">
        <v>301</v>
      </c>
      <c r="D280" s="49" t="s">
        <v>254</v>
      </c>
      <c r="E280" s="49" t="s">
        <v>246</v>
      </c>
      <c r="F280" s="50">
        <v>10699994.999999996</v>
      </c>
      <c r="G280" s="50">
        <v>15300000</v>
      </c>
      <c r="H280" s="50">
        <v>15300000</v>
      </c>
    </row>
    <row r="281" spans="1:8" s="80" customFormat="1" ht="30.75" x14ac:dyDescent="0.25">
      <c r="A281" s="26" t="s">
        <v>214</v>
      </c>
      <c r="B281" s="49" t="s">
        <v>328</v>
      </c>
      <c r="C281" s="49" t="s">
        <v>301</v>
      </c>
      <c r="D281" s="49" t="s">
        <v>254</v>
      </c>
      <c r="E281" s="49" t="s">
        <v>255</v>
      </c>
      <c r="F281" s="50">
        <v>15400000</v>
      </c>
      <c r="G281" s="50">
        <v>15600000</v>
      </c>
      <c r="H281" s="50">
        <v>15600000</v>
      </c>
    </row>
    <row r="282" spans="1:8" s="82" customFormat="1" ht="31.5" x14ac:dyDescent="0.25">
      <c r="A282" s="28" t="s">
        <v>274</v>
      </c>
      <c r="B282" s="47" t="s">
        <v>328</v>
      </c>
      <c r="C282" s="47" t="s">
        <v>301</v>
      </c>
      <c r="D282" s="47" t="s">
        <v>403</v>
      </c>
      <c r="E282" s="47"/>
      <c r="F282" s="48">
        <v>6000000</v>
      </c>
      <c r="G282" s="48">
        <v>6000000</v>
      </c>
      <c r="H282" s="48">
        <v>6000000</v>
      </c>
    </row>
    <row r="283" spans="1:8" s="80" customFormat="1" x14ac:dyDescent="0.25">
      <c r="A283" s="25" t="s">
        <v>275</v>
      </c>
      <c r="B283" s="49" t="s">
        <v>328</v>
      </c>
      <c r="C283" s="49" t="s">
        <v>301</v>
      </c>
      <c r="D283" s="49" t="s">
        <v>404</v>
      </c>
      <c r="E283" s="49"/>
      <c r="F283" s="50">
        <v>6000000</v>
      </c>
      <c r="G283" s="50">
        <v>6000000</v>
      </c>
      <c r="H283" s="50">
        <v>6000000</v>
      </c>
    </row>
    <row r="284" spans="1:8" s="80" customFormat="1" ht="30.75" x14ac:dyDescent="0.25">
      <c r="A284" s="25" t="s">
        <v>194</v>
      </c>
      <c r="B284" s="49" t="s">
        <v>328</v>
      </c>
      <c r="C284" s="49" t="s">
        <v>301</v>
      </c>
      <c r="D284" s="49" t="s">
        <v>404</v>
      </c>
      <c r="E284" s="49" t="s">
        <v>241</v>
      </c>
      <c r="F284" s="50">
        <v>300000</v>
      </c>
      <c r="G284" s="50">
        <v>300000</v>
      </c>
      <c r="H284" s="50">
        <v>300000</v>
      </c>
    </row>
    <row r="285" spans="1:8" s="80" customFormat="1" ht="30.75" x14ac:dyDescent="0.25">
      <c r="A285" s="25" t="s">
        <v>201</v>
      </c>
      <c r="B285" s="49" t="s">
        <v>328</v>
      </c>
      <c r="C285" s="49" t="s">
        <v>301</v>
      </c>
      <c r="D285" s="49" t="s">
        <v>404</v>
      </c>
      <c r="E285" s="49" t="s">
        <v>321</v>
      </c>
      <c r="F285" s="50">
        <v>5700000</v>
      </c>
      <c r="G285" s="50">
        <v>5700000</v>
      </c>
      <c r="H285" s="50">
        <v>5700000</v>
      </c>
    </row>
    <row r="286" spans="1:8" s="80" customFormat="1" x14ac:dyDescent="0.25">
      <c r="A286" s="30" t="s">
        <v>294</v>
      </c>
      <c r="B286" s="47" t="s">
        <v>328</v>
      </c>
      <c r="C286" s="47" t="s">
        <v>301</v>
      </c>
      <c r="D286" s="47" t="s">
        <v>315</v>
      </c>
      <c r="E286" s="47"/>
      <c r="F286" s="48">
        <v>29826711.990000002</v>
      </c>
      <c r="G286" s="48">
        <v>0</v>
      </c>
      <c r="H286" s="48">
        <v>0</v>
      </c>
    </row>
    <row r="287" spans="1:8" s="80" customFormat="1" x14ac:dyDescent="0.25">
      <c r="A287" s="26" t="s">
        <v>314</v>
      </c>
      <c r="B287" s="49" t="s">
        <v>328</v>
      </c>
      <c r="C287" s="49" t="s">
        <v>301</v>
      </c>
      <c r="D287" s="49" t="s">
        <v>315</v>
      </c>
      <c r="E287" s="49"/>
      <c r="F287" s="50">
        <v>29826711.990000002</v>
      </c>
      <c r="G287" s="50">
        <v>0</v>
      </c>
      <c r="H287" s="50">
        <v>0</v>
      </c>
    </row>
    <row r="288" spans="1:8" s="80" customFormat="1" ht="30.75" x14ac:dyDescent="0.25">
      <c r="A288" s="25" t="s">
        <v>194</v>
      </c>
      <c r="B288" s="49" t="s">
        <v>328</v>
      </c>
      <c r="C288" s="49" t="s">
        <v>301</v>
      </c>
      <c r="D288" s="49" t="s">
        <v>315</v>
      </c>
      <c r="E288" s="49" t="s">
        <v>241</v>
      </c>
      <c r="F288" s="50">
        <v>3050171.99</v>
      </c>
      <c r="G288" s="50">
        <v>0</v>
      </c>
      <c r="H288" s="50">
        <v>0</v>
      </c>
    </row>
    <row r="289" spans="1:8" s="80" customFormat="1" ht="30.75" x14ac:dyDescent="0.25">
      <c r="A289" s="26" t="s">
        <v>214</v>
      </c>
      <c r="B289" s="49" t="s">
        <v>328</v>
      </c>
      <c r="C289" s="49" t="s">
        <v>301</v>
      </c>
      <c r="D289" s="49" t="s">
        <v>315</v>
      </c>
      <c r="E289" s="49" t="s">
        <v>255</v>
      </c>
      <c r="F289" s="50">
        <v>26776540</v>
      </c>
      <c r="G289" s="50">
        <v>0</v>
      </c>
      <c r="H289" s="50">
        <v>0</v>
      </c>
    </row>
    <row r="290" spans="1:8" s="23" customFormat="1" x14ac:dyDescent="0.25">
      <c r="A290" s="30" t="s">
        <v>361</v>
      </c>
      <c r="B290" s="47" t="s">
        <v>328</v>
      </c>
      <c r="C290" s="47" t="s">
        <v>305</v>
      </c>
      <c r="D290" s="47"/>
      <c r="E290" s="47"/>
      <c r="F290" s="48">
        <v>44264855.890000001</v>
      </c>
      <c r="G290" s="48">
        <v>43600711.129999995</v>
      </c>
      <c r="H290" s="48">
        <v>43600711.129999995</v>
      </c>
    </row>
    <row r="291" spans="1:8" ht="47.25" x14ac:dyDescent="0.25">
      <c r="A291" s="28" t="s">
        <v>405</v>
      </c>
      <c r="B291" s="47" t="s">
        <v>328</v>
      </c>
      <c r="C291" s="47" t="s">
        <v>305</v>
      </c>
      <c r="D291" s="83" t="s">
        <v>232</v>
      </c>
      <c r="E291" s="47"/>
      <c r="F291" s="48">
        <v>2193113.77</v>
      </c>
      <c r="G291" s="48">
        <v>2233711.13</v>
      </c>
      <c r="H291" s="48">
        <v>2233711.13</v>
      </c>
    </row>
    <row r="292" spans="1:8" x14ac:dyDescent="0.25">
      <c r="A292" s="26" t="s">
        <v>238</v>
      </c>
      <c r="B292" s="49" t="s">
        <v>328</v>
      </c>
      <c r="C292" s="49" t="s">
        <v>305</v>
      </c>
      <c r="D292" s="84" t="s">
        <v>239</v>
      </c>
      <c r="E292" s="49"/>
      <c r="F292" s="50">
        <v>2193113.77</v>
      </c>
      <c r="G292" s="50">
        <v>2233711.13</v>
      </c>
      <c r="H292" s="50">
        <v>2233711.13</v>
      </c>
    </row>
    <row r="293" spans="1:8" ht="30.75" x14ac:dyDescent="0.25">
      <c r="A293" s="26" t="s">
        <v>194</v>
      </c>
      <c r="B293" s="49" t="s">
        <v>328</v>
      </c>
      <c r="C293" s="49" t="s">
        <v>305</v>
      </c>
      <c r="D293" s="84" t="s">
        <v>239</v>
      </c>
      <c r="E293" s="49" t="s">
        <v>241</v>
      </c>
      <c r="F293" s="50">
        <v>1483344.77</v>
      </c>
      <c r="G293" s="50">
        <v>1358999.13</v>
      </c>
      <c r="H293" s="50">
        <v>1358999.13</v>
      </c>
    </row>
    <row r="294" spans="1:8" x14ac:dyDescent="0.25">
      <c r="A294" s="26" t="s">
        <v>195</v>
      </c>
      <c r="B294" s="49" t="s">
        <v>328</v>
      </c>
      <c r="C294" s="49" t="s">
        <v>305</v>
      </c>
      <c r="D294" s="84" t="s">
        <v>239</v>
      </c>
      <c r="E294" s="49" t="s">
        <v>246</v>
      </c>
      <c r="F294" s="50">
        <v>709769</v>
      </c>
      <c r="G294" s="50">
        <v>874712</v>
      </c>
      <c r="H294" s="50">
        <v>874712</v>
      </c>
    </row>
    <row r="295" spans="1:8" x14ac:dyDescent="0.25">
      <c r="A295" s="30" t="s">
        <v>242</v>
      </c>
      <c r="B295" s="47" t="s">
        <v>328</v>
      </c>
      <c r="C295" s="47" t="s">
        <v>305</v>
      </c>
      <c r="D295" s="47" t="s">
        <v>243</v>
      </c>
      <c r="E295" s="47"/>
      <c r="F295" s="48">
        <v>1932830</v>
      </c>
      <c r="G295" s="48">
        <v>2067000</v>
      </c>
      <c r="H295" s="48">
        <v>2067000</v>
      </c>
    </row>
    <row r="296" spans="1:8" ht="30.75" x14ac:dyDescent="0.25">
      <c r="A296" s="26" t="s">
        <v>244</v>
      </c>
      <c r="B296" s="49" t="s">
        <v>328</v>
      </c>
      <c r="C296" s="49" t="s">
        <v>305</v>
      </c>
      <c r="D296" s="49" t="s">
        <v>245</v>
      </c>
      <c r="E296" s="49"/>
      <c r="F296" s="50">
        <v>1932830</v>
      </c>
      <c r="G296" s="50">
        <v>2067000</v>
      </c>
      <c r="H296" s="50">
        <v>2067000</v>
      </c>
    </row>
    <row r="297" spans="1:8" ht="30.75" x14ac:dyDescent="0.25">
      <c r="A297" s="26" t="s">
        <v>194</v>
      </c>
      <c r="B297" s="49" t="s">
        <v>328</v>
      </c>
      <c r="C297" s="49" t="s">
        <v>305</v>
      </c>
      <c r="D297" s="49" t="s">
        <v>245</v>
      </c>
      <c r="E297" s="49" t="s">
        <v>241</v>
      </c>
      <c r="F297" s="50">
        <v>194000</v>
      </c>
      <c r="G297" s="50">
        <v>194000</v>
      </c>
      <c r="H297" s="50">
        <v>194000</v>
      </c>
    </row>
    <row r="298" spans="1:8" x14ac:dyDescent="0.25">
      <c r="A298" s="26" t="s">
        <v>195</v>
      </c>
      <c r="B298" s="49" t="s">
        <v>328</v>
      </c>
      <c r="C298" s="49" t="s">
        <v>305</v>
      </c>
      <c r="D298" s="49" t="s">
        <v>245</v>
      </c>
      <c r="E298" s="49" t="s">
        <v>246</v>
      </c>
      <c r="F298" s="50">
        <v>1738830</v>
      </c>
      <c r="G298" s="50">
        <v>1873000</v>
      </c>
      <c r="H298" s="50">
        <v>1873000</v>
      </c>
    </row>
    <row r="299" spans="1:8" ht="47.25" x14ac:dyDescent="0.25">
      <c r="A299" s="30" t="s">
        <v>249</v>
      </c>
      <c r="B299" s="47" t="s">
        <v>328</v>
      </c>
      <c r="C299" s="47" t="s">
        <v>305</v>
      </c>
      <c r="D299" s="47" t="s">
        <v>250</v>
      </c>
      <c r="E299" s="47"/>
      <c r="F299" s="48">
        <v>23973312.120000001</v>
      </c>
      <c r="G299" s="48">
        <v>25800000</v>
      </c>
      <c r="H299" s="48">
        <v>25800000</v>
      </c>
    </row>
    <row r="300" spans="1:8" ht="30.75" x14ac:dyDescent="0.25">
      <c r="A300" s="26" t="s">
        <v>253</v>
      </c>
      <c r="B300" s="49" t="s">
        <v>328</v>
      </c>
      <c r="C300" s="49" t="s">
        <v>305</v>
      </c>
      <c r="D300" s="49" t="s">
        <v>254</v>
      </c>
      <c r="E300" s="49"/>
      <c r="F300" s="50">
        <v>23973312.120000001</v>
      </c>
      <c r="G300" s="50">
        <v>25800000</v>
      </c>
      <c r="H300" s="50">
        <v>25800000</v>
      </c>
    </row>
    <row r="301" spans="1:8" x14ac:dyDescent="0.25">
      <c r="A301" s="26" t="s">
        <v>195</v>
      </c>
      <c r="B301" s="49" t="s">
        <v>328</v>
      </c>
      <c r="C301" s="49" t="s">
        <v>305</v>
      </c>
      <c r="D301" s="49" t="s">
        <v>254</v>
      </c>
      <c r="E301" s="49" t="s">
        <v>246</v>
      </c>
      <c r="F301" s="50">
        <v>23973312.120000001</v>
      </c>
      <c r="G301" s="50">
        <v>25800000</v>
      </c>
      <c r="H301" s="50">
        <v>25800000</v>
      </c>
    </row>
    <row r="302" spans="1:8" x14ac:dyDescent="0.25">
      <c r="A302" s="30" t="s">
        <v>294</v>
      </c>
      <c r="B302" s="47" t="s">
        <v>328</v>
      </c>
      <c r="C302" s="47" t="s">
        <v>305</v>
      </c>
      <c r="D302" s="47" t="s">
        <v>295</v>
      </c>
      <c r="E302" s="47"/>
      <c r="F302" s="48">
        <v>16165600</v>
      </c>
      <c r="G302" s="48">
        <v>13500000</v>
      </c>
      <c r="H302" s="48">
        <v>13500000</v>
      </c>
    </row>
    <row r="303" spans="1:8" x14ac:dyDescent="0.25">
      <c r="A303" s="26" t="s">
        <v>314</v>
      </c>
      <c r="B303" s="49" t="s">
        <v>328</v>
      </c>
      <c r="C303" s="49" t="s">
        <v>305</v>
      </c>
      <c r="D303" s="49" t="s">
        <v>315</v>
      </c>
      <c r="E303" s="49"/>
      <c r="F303" s="50">
        <v>16165600</v>
      </c>
      <c r="G303" s="50">
        <v>13500000</v>
      </c>
      <c r="H303" s="50">
        <v>13500000</v>
      </c>
    </row>
    <row r="304" spans="1:8" ht="30.75" x14ac:dyDescent="0.25">
      <c r="A304" s="26" t="s">
        <v>194</v>
      </c>
      <c r="B304" s="49" t="s">
        <v>328</v>
      </c>
      <c r="C304" s="49" t="s">
        <v>305</v>
      </c>
      <c r="D304" s="49" t="s">
        <v>315</v>
      </c>
      <c r="E304" s="49" t="s">
        <v>241</v>
      </c>
      <c r="F304" s="50">
        <v>197734</v>
      </c>
      <c r="G304" s="50">
        <v>197734</v>
      </c>
      <c r="H304" s="50">
        <v>197734</v>
      </c>
    </row>
    <row r="305" spans="1:8" x14ac:dyDescent="0.25">
      <c r="A305" s="26" t="s">
        <v>195</v>
      </c>
      <c r="B305" s="49" t="s">
        <v>328</v>
      </c>
      <c r="C305" s="49" t="s">
        <v>305</v>
      </c>
      <c r="D305" s="49" t="s">
        <v>315</v>
      </c>
      <c r="E305" s="49" t="s">
        <v>246</v>
      </c>
      <c r="F305" s="50">
        <v>13302266</v>
      </c>
      <c r="G305" s="50">
        <v>13302266</v>
      </c>
      <c r="H305" s="50">
        <v>13302266</v>
      </c>
    </row>
    <row r="306" spans="1:8" ht="30.75" x14ac:dyDescent="0.25">
      <c r="A306" s="26" t="s">
        <v>214</v>
      </c>
      <c r="B306" s="49" t="s">
        <v>328</v>
      </c>
      <c r="C306" s="49" t="s">
        <v>305</v>
      </c>
      <c r="D306" s="49" t="s">
        <v>315</v>
      </c>
      <c r="E306" s="49" t="s">
        <v>255</v>
      </c>
      <c r="F306" s="50">
        <v>2665600</v>
      </c>
      <c r="G306" s="50">
        <v>0</v>
      </c>
      <c r="H306" s="50">
        <v>0</v>
      </c>
    </row>
    <row r="307" spans="1:8" s="23" customFormat="1" x14ac:dyDescent="0.25">
      <c r="A307" s="30" t="s">
        <v>362</v>
      </c>
      <c r="B307" s="47" t="s">
        <v>328</v>
      </c>
      <c r="C307" s="47" t="s">
        <v>309</v>
      </c>
      <c r="D307" s="47"/>
      <c r="E307" s="47"/>
      <c r="F307" s="48">
        <v>14354095.59</v>
      </c>
      <c r="G307" s="48">
        <v>12136803.129999999</v>
      </c>
      <c r="H307" s="48">
        <v>12049271.879999999</v>
      </c>
    </row>
    <row r="308" spans="1:8" x14ac:dyDescent="0.25">
      <c r="A308" s="30" t="s">
        <v>242</v>
      </c>
      <c r="B308" s="47" t="s">
        <v>328</v>
      </c>
      <c r="C308" s="47" t="s">
        <v>309</v>
      </c>
      <c r="D308" s="47" t="s">
        <v>243</v>
      </c>
      <c r="E308" s="47"/>
      <c r="F308" s="48">
        <v>3430483.9</v>
      </c>
      <c r="G308" s="48">
        <v>5167387.0999999996</v>
      </c>
      <c r="H308" s="48">
        <v>5079855.8499999996</v>
      </c>
    </row>
    <row r="309" spans="1:8" ht="30.75" x14ac:dyDescent="0.25">
      <c r="A309" s="26" t="s">
        <v>244</v>
      </c>
      <c r="B309" s="49" t="s">
        <v>328</v>
      </c>
      <c r="C309" s="49" t="s">
        <v>309</v>
      </c>
      <c r="D309" s="49" t="s">
        <v>245</v>
      </c>
      <c r="E309" s="49"/>
      <c r="F309" s="50">
        <v>2438000</v>
      </c>
      <c r="G309" s="50">
        <v>2596000</v>
      </c>
      <c r="H309" s="50">
        <v>2700000</v>
      </c>
    </row>
    <row r="310" spans="1:8" x14ac:dyDescent="0.25">
      <c r="A310" s="26" t="s">
        <v>195</v>
      </c>
      <c r="B310" s="49" t="s">
        <v>328</v>
      </c>
      <c r="C310" s="49" t="s">
        <v>309</v>
      </c>
      <c r="D310" s="49" t="s">
        <v>245</v>
      </c>
      <c r="E310" s="49" t="s">
        <v>246</v>
      </c>
      <c r="F310" s="50">
        <v>2438000</v>
      </c>
      <c r="G310" s="50">
        <v>2596000</v>
      </c>
      <c r="H310" s="50">
        <v>2700000</v>
      </c>
    </row>
    <row r="311" spans="1:8" x14ac:dyDescent="0.25">
      <c r="A311" s="26" t="s">
        <v>247</v>
      </c>
      <c r="B311" s="49" t="s">
        <v>328</v>
      </c>
      <c r="C311" s="49" t="s">
        <v>309</v>
      </c>
      <c r="D311" s="49" t="s">
        <v>248</v>
      </c>
      <c r="E311" s="49"/>
      <c r="F311" s="50">
        <v>992483.89999999991</v>
      </c>
      <c r="G311" s="50">
        <v>2571387.1</v>
      </c>
      <c r="H311" s="50">
        <v>2379855.85</v>
      </c>
    </row>
    <row r="312" spans="1:8" ht="75.75" x14ac:dyDescent="0.25">
      <c r="A312" s="26" t="s">
        <v>193</v>
      </c>
      <c r="B312" s="49" t="s">
        <v>328</v>
      </c>
      <c r="C312" s="49" t="s">
        <v>309</v>
      </c>
      <c r="D312" s="49" t="s">
        <v>248</v>
      </c>
      <c r="E312" s="49" t="s">
        <v>222</v>
      </c>
      <c r="F312" s="50">
        <v>0</v>
      </c>
      <c r="G312" s="50">
        <v>0</v>
      </c>
      <c r="H312" s="50">
        <v>0</v>
      </c>
    </row>
    <row r="313" spans="1:8" ht="30.75" x14ac:dyDescent="0.25">
      <c r="A313" s="26" t="s">
        <v>194</v>
      </c>
      <c r="B313" s="49" t="s">
        <v>328</v>
      </c>
      <c r="C313" s="49" t="s">
        <v>309</v>
      </c>
      <c r="D313" s="49" t="s">
        <v>248</v>
      </c>
      <c r="E313" s="49" t="s">
        <v>241</v>
      </c>
      <c r="F313" s="50">
        <v>992483.89999999991</v>
      </c>
      <c r="G313" s="50">
        <v>2331387.1</v>
      </c>
      <c r="H313" s="50">
        <v>2379855.85</v>
      </c>
    </row>
    <row r="314" spans="1:8" x14ac:dyDescent="0.25">
      <c r="A314" s="26" t="s">
        <v>195</v>
      </c>
      <c r="B314" s="49" t="s">
        <v>328</v>
      </c>
      <c r="C314" s="49" t="s">
        <v>309</v>
      </c>
      <c r="D314" s="49" t="s">
        <v>248</v>
      </c>
      <c r="E314" s="49" t="s">
        <v>246</v>
      </c>
      <c r="F314" s="50">
        <v>0</v>
      </c>
      <c r="G314" s="50">
        <v>240000</v>
      </c>
      <c r="H314" s="50">
        <v>0</v>
      </c>
    </row>
    <row r="315" spans="1:8" ht="31.5" x14ac:dyDescent="0.25">
      <c r="A315" s="30" t="s">
        <v>406</v>
      </c>
      <c r="B315" s="47" t="s">
        <v>328</v>
      </c>
      <c r="C315" s="47" t="s">
        <v>309</v>
      </c>
      <c r="D315" s="47" t="s">
        <v>271</v>
      </c>
      <c r="E315" s="47"/>
      <c r="F315" s="48">
        <v>2995900</v>
      </c>
      <c r="G315" s="48">
        <v>2995900</v>
      </c>
      <c r="H315" s="48">
        <v>2995900</v>
      </c>
    </row>
    <row r="316" spans="1:8" ht="30" x14ac:dyDescent="0.25">
      <c r="A316" s="101" t="s">
        <v>272</v>
      </c>
      <c r="B316" s="49" t="s">
        <v>328</v>
      </c>
      <c r="C316" s="49" t="s">
        <v>309</v>
      </c>
      <c r="D316" s="49" t="s">
        <v>273</v>
      </c>
      <c r="E316" s="49"/>
      <c r="F316" s="50">
        <v>2995900</v>
      </c>
      <c r="G316" s="50">
        <v>2995900</v>
      </c>
      <c r="H316" s="50">
        <v>2995900</v>
      </c>
    </row>
    <row r="317" spans="1:8" ht="75" x14ac:dyDescent="0.25">
      <c r="A317" s="102" t="s">
        <v>193</v>
      </c>
      <c r="B317" s="49" t="s">
        <v>328</v>
      </c>
      <c r="C317" s="49" t="s">
        <v>309</v>
      </c>
      <c r="D317" s="49" t="s">
        <v>273</v>
      </c>
      <c r="E317" s="49" t="s">
        <v>222</v>
      </c>
      <c r="F317" s="50">
        <v>272580</v>
      </c>
      <c r="G317" s="50">
        <v>127200</v>
      </c>
      <c r="H317" s="50">
        <v>127200</v>
      </c>
    </row>
    <row r="318" spans="1:8" ht="30.75" x14ac:dyDescent="0.25">
      <c r="A318" s="26" t="s">
        <v>194</v>
      </c>
      <c r="B318" s="49" t="s">
        <v>328</v>
      </c>
      <c r="C318" s="49" t="s">
        <v>309</v>
      </c>
      <c r="D318" s="49" t="s">
        <v>273</v>
      </c>
      <c r="E318" s="49" t="s">
        <v>241</v>
      </c>
      <c r="F318" s="50">
        <v>1269598.02</v>
      </c>
      <c r="G318" s="50">
        <v>1004200</v>
      </c>
      <c r="H318" s="50">
        <v>1004200</v>
      </c>
    </row>
    <row r="319" spans="1:8" x14ac:dyDescent="0.25">
      <c r="A319" s="26" t="s">
        <v>195</v>
      </c>
      <c r="B319" s="49" t="s">
        <v>328</v>
      </c>
      <c r="C319" s="49" t="s">
        <v>309</v>
      </c>
      <c r="D319" s="49" t="s">
        <v>273</v>
      </c>
      <c r="E319" s="49" t="s">
        <v>246</v>
      </c>
      <c r="F319" s="50">
        <v>1453721.98</v>
      </c>
      <c r="G319" s="50">
        <v>1864500</v>
      </c>
      <c r="H319" s="50">
        <v>1864500</v>
      </c>
    </row>
    <row r="320" spans="1:8" x14ac:dyDescent="0.25">
      <c r="A320" s="30" t="s">
        <v>294</v>
      </c>
      <c r="B320" s="47" t="s">
        <v>328</v>
      </c>
      <c r="C320" s="47" t="s">
        <v>309</v>
      </c>
      <c r="D320" s="47" t="s">
        <v>295</v>
      </c>
      <c r="E320" s="49"/>
      <c r="F320" s="48">
        <v>7927711.6900000004</v>
      </c>
      <c r="G320" s="48">
        <v>3973516.03</v>
      </c>
      <c r="H320" s="48">
        <v>3973516.03</v>
      </c>
    </row>
    <row r="321" spans="1:8" ht="30.75" x14ac:dyDescent="0.25">
      <c r="A321" s="26" t="s">
        <v>296</v>
      </c>
      <c r="B321" s="49" t="s">
        <v>328</v>
      </c>
      <c r="C321" s="49" t="s">
        <v>309</v>
      </c>
      <c r="D321" s="49" t="s">
        <v>297</v>
      </c>
      <c r="E321" s="49"/>
      <c r="F321" s="50">
        <v>4444504.91</v>
      </c>
      <c r="G321" s="50">
        <v>2854216.03</v>
      </c>
      <c r="H321" s="50">
        <v>2854216.03</v>
      </c>
    </row>
    <row r="322" spans="1:8" ht="75.75" x14ac:dyDescent="0.25">
      <c r="A322" s="26" t="s">
        <v>193</v>
      </c>
      <c r="B322" s="49" t="s">
        <v>328</v>
      </c>
      <c r="C322" s="49" t="s">
        <v>309</v>
      </c>
      <c r="D322" s="49" t="s">
        <v>297</v>
      </c>
      <c r="E322" s="49" t="s">
        <v>222</v>
      </c>
      <c r="F322" s="50">
        <v>4444504.91</v>
      </c>
      <c r="G322" s="50">
        <v>2854216.03</v>
      </c>
      <c r="H322" s="50">
        <v>2854216.03</v>
      </c>
    </row>
    <row r="323" spans="1:8" x14ac:dyDescent="0.25">
      <c r="A323" s="26" t="s">
        <v>314</v>
      </c>
      <c r="B323" s="49" t="s">
        <v>328</v>
      </c>
      <c r="C323" s="49" t="s">
        <v>309</v>
      </c>
      <c r="D323" s="49" t="s">
        <v>315</v>
      </c>
      <c r="E323" s="49"/>
      <c r="F323" s="50">
        <v>3483206.7800000003</v>
      </c>
      <c r="G323" s="50">
        <v>1119300</v>
      </c>
      <c r="H323" s="50">
        <v>1119300</v>
      </c>
    </row>
    <row r="324" spans="1:8" ht="30.75" x14ac:dyDescent="0.25">
      <c r="A324" s="26" t="s">
        <v>194</v>
      </c>
      <c r="B324" s="49" t="s">
        <v>328</v>
      </c>
      <c r="C324" s="49" t="s">
        <v>309</v>
      </c>
      <c r="D324" s="49" t="s">
        <v>315</v>
      </c>
      <c r="E324" s="49" t="s">
        <v>241</v>
      </c>
      <c r="F324" s="50">
        <v>0</v>
      </c>
      <c r="G324" s="50">
        <v>0</v>
      </c>
      <c r="H324" s="50">
        <v>0</v>
      </c>
    </row>
    <row r="325" spans="1:8" x14ac:dyDescent="0.25">
      <c r="A325" s="26" t="s">
        <v>195</v>
      </c>
      <c r="B325" s="49" t="s">
        <v>328</v>
      </c>
      <c r="C325" s="49" t="s">
        <v>309</v>
      </c>
      <c r="D325" s="49" t="s">
        <v>315</v>
      </c>
      <c r="E325" s="49" t="s">
        <v>246</v>
      </c>
      <c r="F325" s="50">
        <v>3483206.7800000003</v>
      </c>
      <c r="G325" s="50">
        <v>1119300</v>
      </c>
      <c r="H325" s="50">
        <v>1119300</v>
      </c>
    </row>
    <row r="326" spans="1:8" x14ac:dyDescent="0.25">
      <c r="A326" s="30" t="s">
        <v>363</v>
      </c>
      <c r="B326" s="47" t="s">
        <v>313</v>
      </c>
      <c r="C326" s="47"/>
      <c r="D326" s="47"/>
      <c r="E326" s="47"/>
      <c r="F326" s="48">
        <v>185157619.07999998</v>
      </c>
      <c r="G326" s="48">
        <v>138072363.33999997</v>
      </c>
      <c r="H326" s="48">
        <v>139031568.62</v>
      </c>
    </row>
    <row r="327" spans="1:8" x14ac:dyDescent="0.25">
      <c r="A327" s="30" t="s">
        <v>364</v>
      </c>
      <c r="B327" s="47" t="s">
        <v>313</v>
      </c>
      <c r="C327" s="47" t="s">
        <v>291</v>
      </c>
      <c r="D327" s="47"/>
      <c r="E327" s="47"/>
      <c r="F327" s="48">
        <v>176657619.07999998</v>
      </c>
      <c r="G327" s="48">
        <v>130072363.33999999</v>
      </c>
      <c r="H327" s="48">
        <v>131031568.61999999</v>
      </c>
    </row>
    <row r="328" spans="1:8" ht="31.5" x14ac:dyDescent="0.25">
      <c r="A328" s="30" t="s">
        <v>264</v>
      </c>
      <c r="B328" s="47" t="s">
        <v>313</v>
      </c>
      <c r="C328" s="47" t="s">
        <v>291</v>
      </c>
      <c r="D328" s="47" t="s">
        <v>265</v>
      </c>
      <c r="E328" s="47"/>
      <c r="F328" s="48">
        <v>135482556.88</v>
      </c>
      <c r="G328" s="48">
        <v>130072363.33999999</v>
      </c>
      <c r="H328" s="48">
        <v>131031568.61999999</v>
      </c>
    </row>
    <row r="329" spans="1:8" x14ac:dyDescent="0.25">
      <c r="A329" s="26" t="s">
        <v>191</v>
      </c>
      <c r="B329" s="49" t="s">
        <v>313</v>
      </c>
      <c r="C329" s="49" t="s">
        <v>291</v>
      </c>
      <c r="D329" s="49" t="s">
        <v>266</v>
      </c>
      <c r="E329" s="49"/>
      <c r="F329" s="50">
        <v>127982556.88</v>
      </c>
      <c r="G329" s="50">
        <v>122072363.33999999</v>
      </c>
      <c r="H329" s="50">
        <v>123031568.61999999</v>
      </c>
    </row>
    <row r="330" spans="1:8" ht="75.75" x14ac:dyDescent="0.25">
      <c r="A330" s="26" t="s">
        <v>193</v>
      </c>
      <c r="B330" s="49" t="s">
        <v>313</v>
      </c>
      <c r="C330" s="49" t="s">
        <v>291</v>
      </c>
      <c r="D330" s="49" t="s">
        <v>266</v>
      </c>
      <c r="E330" s="49" t="s">
        <v>222</v>
      </c>
      <c r="F330" s="50">
        <v>98332282.530000001</v>
      </c>
      <c r="G330" s="50">
        <v>93985125.769999996</v>
      </c>
      <c r="H330" s="50">
        <v>93985125.769999996</v>
      </c>
    </row>
    <row r="331" spans="1:8" ht="30.75" x14ac:dyDescent="0.25">
      <c r="A331" s="26" t="s">
        <v>194</v>
      </c>
      <c r="B331" s="49" t="s">
        <v>313</v>
      </c>
      <c r="C331" s="49" t="s">
        <v>291</v>
      </c>
      <c r="D331" s="49" t="s">
        <v>266</v>
      </c>
      <c r="E331" s="49" t="s">
        <v>241</v>
      </c>
      <c r="F331" s="50">
        <v>26553297.239999998</v>
      </c>
      <c r="G331" s="50">
        <v>24990260.460000001</v>
      </c>
      <c r="H331" s="50">
        <v>25949465.739999998</v>
      </c>
    </row>
    <row r="332" spans="1:8" x14ac:dyDescent="0.25">
      <c r="A332" s="26" t="s">
        <v>195</v>
      </c>
      <c r="B332" s="49" t="s">
        <v>313</v>
      </c>
      <c r="C332" s="49" t="s">
        <v>291</v>
      </c>
      <c r="D332" s="49" t="s">
        <v>266</v>
      </c>
      <c r="E332" s="49" t="s">
        <v>246</v>
      </c>
      <c r="F332" s="50">
        <v>0</v>
      </c>
      <c r="G332" s="50">
        <v>0</v>
      </c>
      <c r="H332" s="50">
        <v>0</v>
      </c>
    </row>
    <row r="333" spans="1:8" x14ac:dyDescent="0.25">
      <c r="A333" s="26" t="s">
        <v>196</v>
      </c>
      <c r="B333" s="49" t="s">
        <v>313</v>
      </c>
      <c r="C333" s="49" t="s">
        <v>291</v>
      </c>
      <c r="D333" s="49" t="s">
        <v>266</v>
      </c>
      <c r="E333" s="49" t="s">
        <v>223</v>
      </c>
      <c r="F333" s="50">
        <v>3096977.11</v>
      </c>
      <c r="G333" s="50">
        <v>3096977.11</v>
      </c>
      <c r="H333" s="50">
        <v>3096977.11</v>
      </c>
    </row>
    <row r="334" spans="1:8" x14ac:dyDescent="0.25">
      <c r="A334" s="26" t="s">
        <v>269</v>
      </c>
      <c r="B334" s="49" t="s">
        <v>313</v>
      </c>
      <c r="C334" s="49" t="s">
        <v>291</v>
      </c>
      <c r="D334" s="49" t="s">
        <v>270</v>
      </c>
      <c r="E334" s="49"/>
      <c r="F334" s="50">
        <v>7500000</v>
      </c>
      <c r="G334" s="50">
        <v>8000000</v>
      </c>
      <c r="H334" s="50">
        <v>8000000</v>
      </c>
    </row>
    <row r="335" spans="1:8" ht="75.75" x14ac:dyDescent="0.25">
      <c r="A335" s="26" t="s">
        <v>193</v>
      </c>
      <c r="B335" s="49" t="s">
        <v>313</v>
      </c>
      <c r="C335" s="49" t="s">
        <v>291</v>
      </c>
      <c r="D335" s="49" t="s">
        <v>270</v>
      </c>
      <c r="E335" s="49" t="s">
        <v>222</v>
      </c>
      <c r="F335" s="50">
        <v>940000</v>
      </c>
      <c r="G335" s="50">
        <v>2240000</v>
      </c>
      <c r="H335" s="50">
        <v>2240000</v>
      </c>
    </row>
    <row r="336" spans="1:8" ht="30.75" x14ac:dyDescent="0.25">
      <c r="A336" s="26" t="s">
        <v>194</v>
      </c>
      <c r="B336" s="49" t="s">
        <v>313</v>
      </c>
      <c r="C336" s="49" t="s">
        <v>291</v>
      </c>
      <c r="D336" s="49" t="s">
        <v>270</v>
      </c>
      <c r="E336" s="49" t="s">
        <v>241</v>
      </c>
      <c r="F336" s="50">
        <v>6560000</v>
      </c>
      <c r="G336" s="50">
        <v>5760000</v>
      </c>
      <c r="H336" s="50">
        <v>5760000</v>
      </c>
    </row>
    <row r="337" spans="1:8" s="23" customFormat="1" x14ac:dyDescent="0.25">
      <c r="A337" s="30" t="s">
        <v>294</v>
      </c>
      <c r="B337" s="47" t="s">
        <v>313</v>
      </c>
      <c r="C337" s="47" t="s">
        <v>291</v>
      </c>
      <c r="D337" s="47" t="s">
        <v>295</v>
      </c>
      <c r="E337" s="47"/>
      <c r="F337" s="48">
        <v>41175062.200000003</v>
      </c>
      <c r="G337" s="48">
        <v>0</v>
      </c>
      <c r="H337" s="48">
        <v>0</v>
      </c>
    </row>
    <row r="338" spans="1:8" x14ac:dyDescent="0.25">
      <c r="A338" s="26" t="s">
        <v>314</v>
      </c>
      <c r="B338" s="49" t="s">
        <v>313</v>
      </c>
      <c r="C338" s="49" t="s">
        <v>291</v>
      </c>
      <c r="D338" s="49" t="s">
        <v>315</v>
      </c>
      <c r="E338" s="49"/>
      <c r="F338" s="50">
        <v>41175062.200000003</v>
      </c>
      <c r="G338" s="50">
        <v>0</v>
      </c>
      <c r="H338" s="50">
        <v>0</v>
      </c>
    </row>
    <row r="339" spans="1:8" ht="30.75" x14ac:dyDescent="0.25">
      <c r="A339" s="26" t="s">
        <v>194</v>
      </c>
      <c r="B339" s="49" t="s">
        <v>313</v>
      </c>
      <c r="C339" s="49" t="s">
        <v>291</v>
      </c>
      <c r="D339" s="49" t="s">
        <v>315</v>
      </c>
      <c r="E339" s="49" t="s">
        <v>241</v>
      </c>
      <c r="F339" s="50">
        <v>39514008</v>
      </c>
      <c r="G339" s="50">
        <v>0</v>
      </c>
      <c r="H339" s="50">
        <v>0</v>
      </c>
    </row>
    <row r="340" spans="1:8" x14ac:dyDescent="0.25">
      <c r="A340" s="26" t="s">
        <v>195</v>
      </c>
      <c r="B340" s="49" t="s">
        <v>313</v>
      </c>
      <c r="C340" s="49" t="s">
        <v>291</v>
      </c>
      <c r="D340" s="49" t="s">
        <v>315</v>
      </c>
      <c r="E340" s="49" t="s">
        <v>246</v>
      </c>
      <c r="F340" s="50">
        <v>988873</v>
      </c>
      <c r="G340" s="50">
        <v>0</v>
      </c>
      <c r="H340" s="50">
        <v>0</v>
      </c>
    </row>
    <row r="341" spans="1:8" ht="30.75" x14ac:dyDescent="0.25">
      <c r="A341" s="26" t="s">
        <v>214</v>
      </c>
      <c r="B341" s="49" t="s">
        <v>313</v>
      </c>
      <c r="C341" s="49" t="s">
        <v>291</v>
      </c>
      <c r="D341" s="49" t="s">
        <v>315</v>
      </c>
      <c r="E341" s="49" t="s">
        <v>255</v>
      </c>
      <c r="F341" s="50">
        <v>672181.2</v>
      </c>
      <c r="G341" s="50">
        <v>0</v>
      </c>
      <c r="H341" s="50">
        <v>0</v>
      </c>
    </row>
    <row r="342" spans="1:8" x14ac:dyDescent="0.25">
      <c r="A342" s="30" t="s">
        <v>407</v>
      </c>
      <c r="B342" s="47" t="s">
        <v>313</v>
      </c>
      <c r="C342" s="47" t="s">
        <v>293</v>
      </c>
      <c r="D342" s="47"/>
      <c r="E342" s="47"/>
      <c r="F342" s="48">
        <v>8500000</v>
      </c>
      <c r="G342" s="48">
        <v>8000000</v>
      </c>
      <c r="H342" s="48">
        <v>8000000</v>
      </c>
    </row>
    <row r="343" spans="1:8" s="23" customFormat="1" ht="31.5" x14ac:dyDescent="0.25">
      <c r="A343" s="30" t="s">
        <v>264</v>
      </c>
      <c r="B343" s="47" t="s">
        <v>313</v>
      </c>
      <c r="C343" s="47" t="s">
        <v>293</v>
      </c>
      <c r="D343" s="47" t="s">
        <v>265</v>
      </c>
      <c r="E343" s="47"/>
      <c r="F343" s="48">
        <v>8500000</v>
      </c>
      <c r="G343" s="48">
        <v>8000000</v>
      </c>
      <c r="H343" s="48">
        <v>8000000</v>
      </c>
    </row>
    <row r="344" spans="1:8" x14ac:dyDescent="0.25">
      <c r="A344" s="26" t="s">
        <v>267</v>
      </c>
      <c r="B344" s="49" t="s">
        <v>313</v>
      </c>
      <c r="C344" s="49" t="s">
        <v>293</v>
      </c>
      <c r="D344" s="49" t="s">
        <v>268</v>
      </c>
      <c r="E344" s="49"/>
      <c r="F344" s="50">
        <v>8500000</v>
      </c>
      <c r="G344" s="50">
        <v>8000000</v>
      </c>
      <c r="H344" s="50">
        <v>8000000</v>
      </c>
    </row>
    <row r="345" spans="1:8" ht="75.75" x14ac:dyDescent="0.25">
      <c r="A345" s="26" t="s">
        <v>193</v>
      </c>
      <c r="B345" s="49" t="s">
        <v>313</v>
      </c>
      <c r="C345" s="49" t="s">
        <v>293</v>
      </c>
      <c r="D345" s="49" t="s">
        <v>268</v>
      </c>
      <c r="E345" s="49" t="s">
        <v>222</v>
      </c>
      <c r="F345" s="50">
        <v>920000</v>
      </c>
      <c r="G345" s="50">
        <v>2120000</v>
      </c>
      <c r="H345" s="50">
        <v>2120000</v>
      </c>
    </row>
    <row r="346" spans="1:8" ht="30.75" x14ac:dyDescent="0.25">
      <c r="A346" s="26" t="s">
        <v>194</v>
      </c>
      <c r="B346" s="49" t="s">
        <v>313</v>
      </c>
      <c r="C346" s="49" t="s">
        <v>293</v>
      </c>
      <c r="D346" s="49" t="s">
        <v>268</v>
      </c>
      <c r="E346" s="49" t="s">
        <v>241</v>
      </c>
      <c r="F346" s="50">
        <v>7580000</v>
      </c>
      <c r="G346" s="50">
        <v>5880000</v>
      </c>
      <c r="H346" s="50">
        <v>5880000</v>
      </c>
    </row>
    <row r="347" spans="1:8" ht="63" x14ac:dyDescent="0.25">
      <c r="A347" s="60" t="s">
        <v>367</v>
      </c>
      <c r="B347" s="103" t="s">
        <v>368</v>
      </c>
      <c r="C347" s="103"/>
      <c r="D347" s="103"/>
      <c r="E347" s="104"/>
      <c r="F347" s="62">
        <v>461564467.12</v>
      </c>
      <c r="G347" s="62">
        <v>0</v>
      </c>
      <c r="H347" s="62">
        <v>0</v>
      </c>
    </row>
    <row r="348" spans="1:8" ht="31.5" x14ac:dyDescent="0.25">
      <c r="A348" s="63" t="s">
        <v>369</v>
      </c>
      <c r="B348" s="103" t="s">
        <v>368</v>
      </c>
      <c r="C348" s="103" t="s">
        <v>301</v>
      </c>
      <c r="D348" s="103"/>
      <c r="E348" s="104"/>
      <c r="F348" s="62">
        <v>461564467.12</v>
      </c>
      <c r="G348" s="62">
        <v>0</v>
      </c>
      <c r="H348" s="62">
        <v>0</v>
      </c>
    </row>
    <row r="349" spans="1:8" x14ac:dyDescent="0.25">
      <c r="A349" s="30" t="s">
        <v>294</v>
      </c>
      <c r="B349" s="103" t="s">
        <v>368</v>
      </c>
      <c r="C349" s="103" t="s">
        <v>301</v>
      </c>
      <c r="D349" s="103" t="s">
        <v>295</v>
      </c>
      <c r="E349" s="104"/>
      <c r="F349" s="62">
        <v>461564467.12</v>
      </c>
      <c r="G349" s="62">
        <v>0</v>
      </c>
      <c r="H349" s="62">
        <v>0</v>
      </c>
    </row>
    <row r="350" spans="1:8" x14ac:dyDescent="0.25">
      <c r="A350" s="26" t="s">
        <v>370</v>
      </c>
      <c r="B350" s="103" t="s">
        <v>368</v>
      </c>
      <c r="C350" s="103" t="s">
        <v>301</v>
      </c>
      <c r="D350" s="103" t="s">
        <v>371</v>
      </c>
      <c r="E350" s="104"/>
      <c r="F350" s="62">
        <v>461564467.12</v>
      </c>
      <c r="G350" s="62">
        <v>0</v>
      </c>
      <c r="H350" s="62">
        <v>0</v>
      </c>
    </row>
    <row r="351" spans="1:8" ht="15" x14ac:dyDescent="0.25">
      <c r="A351" s="105" t="s">
        <v>370</v>
      </c>
      <c r="B351" s="106" t="s">
        <v>368</v>
      </c>
      <c r="C351" s="106" t="s">
        <v>301</v>
      </c>
      <c r="D351" s="106" t="s">
        <v>371</v>
      </c>
      <c r="E351" s="107" t="s">
        <v>374</v>
      </c>
      <c r="F351" s="16">
        <v>461564467.12</v>
      </c>
      <c r="G351" s="16">
        <v>0</v>
      </c>
      <c r="H351" s="16">
        <v>0</v>
      </c>
    </row>
  </sheetData>
  <autoFilter ref="A14:H351"/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54" fitToHeight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2"/>
  <sheetViews>
    <sheetView workbookViewId="0">
      <selection activeCell="A3" sqref="A3"/>
    </sheetView>
  </sheetViews>
  <sheetFormatPr defaultColWidth="9.140625" defaultRowHeight="15.75" x14ac:dyDescent="0.25"/>
  <cols>
    <col min="1" max="1" width="60.85546875" style="2" customWidth="1"/>
    <col min="2" max="2" width="9.85546875" style="2" customWidth="1"/>
    <col min="3" max="3" width="6.140625" style="68" customWidth="1"/>
    <col min="4" max="4" width="6" style="68" customWidth="1"/>
    <col min="5" max="5" width="17.5703125" style="2" customWidth="1"/>
    <col min="6" max="6" width="8" style="2" customWidth="1"/>
    <col min="7" max="7" width="19.28515625" style="69" customWidth="1"/>
    <col min="8" max="8" width="21" style="73" customWidth="1"/>
    <col min="9" max="9" width="21" style="34" customWidth="1"/>
    <col min="10" max="10" width="9.140625" style="1" customWidth="1"/>
    <col min="11" max="11" width="19.140625" style="1" customWidth="1"/>
    <col min="12" max="12" width="18.7109375" style="1" customWidth="1"/>
    <col min="13" max="14" width="20.42578125" style="1" customWidth="1"/>
    <col min="15" max="15" width="9.140625" style="1" customWidth="1"/>
    <col min="16" max="16384" width="9.140625" style="1"/>
  </cols>
  <sheetData>
    <row r="1" spans="1:14" ht="15" x14ac:dyDescent="0.25">
      <c r="H1" s="69"/>
      <c r="I1" s="69"/>
    </row>
    <row r="2" spans="1:14" ht="18.75" x14ac:dyDescent="0.3">
      <c r="E2" s="70"/>
      <c r="H2" s="71" t="s">
        <v>463</v>
      </c>
      <c r="I2" s="69"/>
    </row>
    <row r="3" spans="1:14" ht="18.75" x14ac:dyDescent="0.3">
      <c r="E3" s="70"/>
      <c r="H3" s="71" t="s">
        <v>286</v>
      </c>
      <c r="I3" s="69"/>
    </row>
    <row r="4" spans="1:14" ht="18.75" x14ac:dyDescent="0.3">
      <c r="E4" s="70"/>
      <c r="H4" s="71" t="s">
        <v>17</v>
      </c>
      <c r="I4" s="69"/>
    </row>
    <row r="5" spans="1:14" ht="18.75" x14ac:dyDescent="0.3">
      <c r="E5" s="70"/>
      <c r="H5" s="71" t="s">
        <v>18</v>
      </c>
      <c r="I5" s="69"/>
    </row>
    <row r="6" spans="1:14" ht="18.75" x14ac:dyDescent="0.3">
      <c r="E6" s="70"/>
      <c r="H6" s="71" t="s">
        <v>19</v>
      </c>
      <c r="I6" s="69"/>
    </row>
    <row r="7" spans="1:14" ht="18.75" x14ac:dyDescent="0.3">
      <c r="E7" s="70"/>
      <c r="H7" s="71" t="s">
        <v>563</v>
      </c>
      <c r="I7" s="69"/>
    </row>
    <row r="8" spans="1:14" ht="18.75" x14ac:dyDescent="0.3">
      <c r="E8" s="70"/>
      <c r="H8" s="71" t="s">
        <v>564</v>
      </c>
      <c r="I8" s="69"/>
    </row>
    <row r="9" spans="1:14" ht="15" x14ac:dyDescent="0.25">
      <c r="H9" s="69"/>
      <c r="I9" s="69"/>
    </row>
    <row r="11" spans="1:14" ht="59.25" customHeight="1" x14ac:dyDescent="0.25">
      <c r="B11" s="108"/>
      <c r="N11" s="20"/>
    </row>
    <row r="12" spans="1:14" ht="55.5" customHeight="1" x14ac:dyDescent="0.25">
      <c r="A12" s="183" t="s">
        <v>411</v>
      </c>
      <c r="B12" s="183"/>
      <c r="C12" s="183"/>
      <c r="D12" s="183"/>
      <c r="E12" s="183"/>
      <c r="F12" s="183"/>
      <c r="G12" s="183"/>
      <c r="H12" s="183"/>
      <c r="I12" s="183"/>
    </row>
    <row r="13" spans="1:14" x14ac:dyDescent="0.25">
      <c r="B13" s="108"/>
    </row>
    <row r="14" spans="1:14" s="33" customFormat="1" x14ac:dyDescent="0.25">
      <c r="A14" s="2"/>
      <c r="B14" s="108"/>
      <c r="C14" s="68"/>
      <c r="D14" s="68"/>
      <c r="E14" s="2"/>
      <c r="F14" s="2"/>
      <c r="G14" s="72"/>
      <c r="H14" s="73"/>
      <c r="I14" s="72" t="s">
        <v>185</v>
      </c>
    </row>
    <row r="15" spans="1:14" s="31" customFormat="1" ht="30" x14ac:dyDescent="0.25">
      <c r="A15" s="21" t="s">
        <v>21</v>
      </c>
      <c r="B15" s="40" t="s">
        <v>410</v>
      </c>
      <c r="C15" s="74" t="s">
        <v>287</v>
      </c>
      <c r="D15" s="74" t="s">
        <v>288</v>
      </c>
      <c r="E15" s="21" t="s">
        <v>186</v>
      </c>
      <c r="F15" s="21" t="s">
        <v>187</v>
      </c>
      <c r="G15" s="41" t="s">
        <v>22</v>
      </c>
      <c r="H15" s="41" t="s">
        <v>23</v>
      </c>
      <c r="I15" s="41" t="s">
        <v>173</v>
      </c>
      <c r="K15" s="32"/>
      <c r="L15" s="32"/>
      <c r="M15" s="32"/>
      <c r="N15" s="32"/>
    </row>
    <row r="16" spans="1:14" s="31" customFormat="1" ht="31.5" x14ac:dyDescent="0.25">
      <c r="A16" s="60" t="s">
        <v>408</v>
      </c>
      <c r="B16" s="43">
        <v>701</v>
      </c>
      <c r="C16" s="74"/>
      <c r="D16" s="74"/>
      <c r="E16" s="21"/>
      <c r="F16" s="21"/>
      <c r="G16" s="109">
        <v>3487798365.0299997</v>
      </c>
      <c r="H16" s="109">
        <v>2215550585.6499996</v>
      </c>
      <c r="I16" s="109">
        <v>2219734655.3699999</v>
      </c>
      <c r="K16" s="32"/>
      <c r="L16" s="32"/>
      <c r="M16" s="32"/>
      <c r="N16" s="32"/>
    </row>
    <row r="17" spans="1:14" x14ac:dyDescent="0.25">
      <c r="A17" s="30" t="s">
        <v>290</v>
      </c>
      <c r="B17" s="43">
        <v>701</v>
      </c>
      <c r="C17" s="47" t="s">
        <v>291</v>
      </c>
      <c r="D17" s="47"/>
      <c r="E17" s="47"/>
      <c r="F17" s="47"/>
      <c r="G17" s="48">
        <v>798036147.49000001</v>
      </c>
      <c r="H17" s="48">
        <v>616264674.56999993</v>
      </c>
      <c r="I17" s="48">
        <v>616264674.56999993</v>
      </c>
      <c r="N17" s="20"/>
    </row>
    <row r="18" spans="1:14" ht="47.25" x14ac:dyDescent="0.25">
      <c r="A18" s="30" t="s">
        <v>292</v>
      </c>
      <c r="B18" s="43">
        <v>701</v>
      </c>
      <c r="C18" s="47" t="s">
        <v>291</v>
      </c>
      <c r="D18" s="47" t="s">
        <v>293</v>
      </c>
      <c r="E18" s="47"/>
      <c r="F18" s="47"/>
      <c r="G18" s="48">
        <v>8175148.0999999996</v>
      </c>
      <c r="H18" s="48">
        <v>7119360</v>
      </c>
      <c r="I18" s="48">
        <v>7119360</v>
      </c>
    </row>
    <row r="19" spans="1:14" s="78" customFormat="1" x14ac:dyDescent="0.25">
      <c r="A19" s="30" t="s">
        <v>294</v>
      </c>
      <c r="B19" s="43">
        <v>701</v>
      </c>
      <c r="C19" s="47" t="s">
        <v>291</v>
      </c>
      <c r="D19" s="47" t="s">
        <v>293</v>
      </c>
      <c r="E19" s="47" t="s">
        <v>295</v>
      </c>
      <c r="F19" s="47"/>
      <c r="G19" s="48">
        <v>8175148.0999999996</v>
      </c>
      <c r="H19" s="48">
        <v>7119360</v>
      </c>
      <c r="I19" s="48">
        <v>7119360</v>
      </c>
    </row>
    <row r="20" spans="1:14" ht="30.75" x14ac:dyDescent="0.25">
      <c r="A20" s="26" t="s">
        <v>296</v>
      </c>
      <c r="B20" s="43">
        <v>701</v>
      </c>
      <c r="C20" s="49" t="s">
        <v>291</v>
      </c>
      <c r="D20" s="49" t="s">
        <v>293</v>
      </c>
      <c r="E20" s="49" t="s">
        <v>297</v>
      </c>
      <c r="F20" s="49"/>
      <c r="G20" s="50">
        <v>8175148.0999999996</v>
      </c>
      <c r="H20" s="50">
        <v>7119360</v>
      </c>
      <c r="I20" s="50">
        <v>7119360</v>
      </c>
    </row>
    <row r="21" spans="1:14" ht="75.75" x14ac:dyDescent="0.25">
      <c r="A21" s="26" t="s">
        <v>193</v>
      </c>
      <c r="B21" s="43">
        <v>701</v>
      </c>
      <c r="C21" s="49" t="s">
        <v>291</v>
      </c>
      <c r="D21" s="49" t="s">
        <v>293</v>
      </c>
      <c r="E21" s="49" t="s">
        <v>297</v>
      </c>
      <c r="F21" s="49" t="s">
        <v>222</v>
      </c>
      <c r="G21" s="79">
        <v>8175148.0999999996</v>
      </c>
      <c r="H21" s="79">
        <v>7119360</v>
      </c>
      <c r="I21" s="79">
        <v>7119360</v>
      </c>
    </row>
    <row r="22" spans="1:14" s="78" customFormat="1" ht="63" x14ac:dyDescent="0.25">
      <c r="A22" s="30" t="s">
        <v>300</v>
      </c>
      <c r="B22" s="43">
        <v>701</v>
      </c>
      <c r="C22" s="47" t="s">
        <v>291</v>
      </c>
      <c r="D22" s="47" t="s">
        <v>301</v>
      </c>
      <c r="E22" s="47"/>
      <c r="F22" s="47"/>
      <c r="G22" s="48">
        <v>3854672.66</v>
      </c>
      <c r="H22" s="48">
        <v>3952396.66</v>
      </c>
      <c r="I22" s="48">
        <v>3952396.66</v>
      </c>
    </row>
    <row r="23" spans="1:14" x14ac:dyDescent="0.25">
      <c r="A23" s="30" t="s">
        <v>294</v>
      </c>
      <c r="B23" s="43">
        <v>701</v>
      </c>
      <c r="C23" s="47" t="s">
        <v>291</v>
      </c>
      <c r="D23" s="47" t="s">
        <v>301</v>
      </c>
      <c r="E23" s="47" t="s">
        <v>295</v>
      </c>
      <c r="F23" s="47"/>
      <c r="G23" s="48">
        <v>3854672.66</v>
      </c>
      <c r="H23" s="48">
        <v>3952396.66</v>
      </c>
      <c r="I23" s="48">
        <v>3952396.66</v>
      </c>
    </row>
    <row r="24" spans="1:14" ht="30.75" x14ac:dyDescent="0.25">
      <c r="A24" s="26" t="s">
        <v>296</v>
      </c>
      <c r="B24" s="43">
        <v>701</v>
      </c>
      <c r="C24" s="49" t="s">
        <v>291</v>
      </c>
      <c r="D24" s="49" t="s">
        <v>301</v>
      </c>
      <c r="E24" s="49" t="s">
        <v>297</v>
      </c>
      <c r="F24" s="49"/>
      <c r="G24" s="50">
        <v>3854672.66</v>
      </c>
      <c r="H24" s="50">
        <v>3952396.66</v>
      </c>
      <c r="I24" s="50">
        <v>3952396.66</v>
      </c>
    </row>
    <row r="25" spans="1:14" ht="75.75" x14ac:dyDescent="0.25">
      <c r="A25" s="26" t="s">
        <v>193</v>
      </c>
      <c r="B25" s="43">
        <v>701</v>
      </c>
      <c r="C25" s="49" t="s">
        <v>291</v>
      </c>
      <c r="D25" s="49" t="s">
        <v>301</v>
      </c>
      <c r="E25" s="49" t="s">
        <v>297</v>
      </c>
      <c r="F25" s="49" t="s">
        <v>222</v>
      </c>
      <c r="G25" s="50">
        <v>537510.66</v>
      </c>
      <c r="H25" s="50">
        <v>574034.66</v>
      </c>
      <c r="I25" s="50">
        <v>574034.66</v>
      </c>
    </row>
    <row r="26" spans="1:14" ht="30.75" x14ac:dyDescent="0.25">
      <c r="A26" s="26" t="s">
        <v>194</v>
      </c>
      <c r="B26" s="43">
        <v>701</v>
      </c>
      <c r="C26" s="49" t="s">
        <v>291</v>
      </c>
      <c r="D26" s="49" t="s">
        <v>301</v>
      </c>
      <c r="E26" s="49" t="s">
        <v>297</v>
      </c>
      <c r="F26" s="49" t="s">
        <v>241</v>
      </c>
      <c r="G26" s="50">
        <v>3297162</v>
      </c>
      <c r="H26" s="50">
        <v>3358362</v>
      </c>
      <c r="I26" s="50">
        <v>3358362</v>
      </c>
    </row>
    <row r="27" spans="1:14" x14ac:dyDescent="0.25">
      <c r="A27" s="26" t="s">
        <v>196</v>
      </c>
      <c r="B27" s="43">
        <v>701</v>
      </c>
      <c r="C27" s="49" t="s">
        <v>291</v>
      </c>
      <c r="D27" s="49" t="s">
        <v>301</v>
      </c>
      <c r="E27" s="49" t="s">
        <v>297</v>
      </c>
      <c r="F27" s="49" t="s">
        <v>223</v>
      </c>
      <c r="G27" s="50">
        <v>20000</v>
      </c>
      <c r="H27" s="50">
        <v>20000</v>
      </c>
      <c r="I27" s="50">
        <v>20000</v>
      </c>
    </row>
    <row r="28" spans="1:14" ht="63" x14ac:dyDescent="0.25">
      <c r="A28" s="52" t="s">
        <v>304</v>
      </c>
      <c r="B28" s="43">
        <v>701</v>
      </c>
      <c r="C28" s="47" t="s">
        <v>291</v>
      </c>
      <c r="D28" s="47" t="s">
        <v>305</v>
      </c>
      <c r="E28" s="47"/>
      <c r="F28" s="47"/>
      <c r="G28" s="48">
        <v>71110942.560000002</v>
      </c>
      <c r="H28" s="48">
        <v>63299903.520000003</v>
      </c>
      <c r="I28" s="48">
        <v>63299903.520000003</v>
      </c>
    </row>
    <row r="29" spans="1:14" x14ac:dyDescent="0.25">
      <c r="A29" s="30" t="s">
        <v>294</v>
      </c>
      <c r="B29" s="43">
        <v>701</v>
      </c>
      <c r="C29" s="47" t="s">
        <v>291</v>
      </c>
      <c r="D29" s="47" t="s">
        <v>305</v>
      </c>
      <c r="E29" s="47" t="s">
        <v>295</v>
      </c>
      <c r="F29" s="47"/>
      <c r="G29" s="48">
        <v>71110942.560000002</v>
      </c>
      <c r="H29" s="48">
        <v>63299903.520000003</v>
      </c>
      <c r="I29" s="48">
        <v>63299903.520000003</v>
      </c>
    </row>
    <row r="30" spans="1:14" ht="30.75" x14ac:dyDescent="0.25">
      <c r="A30" s="26" t="s">
        <v>296</v>
      </c>
      <c r="B30" s="43">
        <v>701</v>
      </c>
      <c r="C30" s="49" t="s">
        <v>291</v>
      </c>
      <c r="D30" s="49" t="s">
        <v>305</v>
      </c>
      <c r="E30" s="49" t="s">
        <v>297</v>
      </c>
      <c r="F30" s="49"/>
      <c r="G30" s="50">
        <v>71110942.560000002</v>
      </c>
      <c r="H30" s="50">
        <v>63299903.520000003</v>
      </c>
      <c r="I30" s="50">
        <v>63299903.520000003</v>
      </c>
    </row>
    <row r="31" spans="1:14" ht="75.75" x14ac:dyDescent="0.25">
      <c r="A31" s="26" t="s">
        <v>193</v>
      </c>
      <c r="B31" s="43">
        <v>701</v>
      </c>
      <c r="C31" s="49" t="s">
        <v>291</v>
      </c>
      <c r="D31" s="49" t="s">
        <v>305</v>
      </c>
      <c r="E31" s="49" t="s">
        <v>297</v>
      </c>
      <c r="F31" s="49" t="s">
        <v>222</v>
      </c>
      <c r="G31" s="50">
        <v>66098861.920000002</v>
      </c>
      <c r="H31" s="50">
        <v>56947557.520000003</v>
      </c>
      <c r="I31" s="50">
        <v>56947557.520000003</v>
      </c>
    </row>
    <row r="32" spans="1:14" s="78" customFormat="1" ht="30.75" x14ac:dyDescent="0.25">
      <c r="A32" s="26" t="s">
        <v>194</v>
      </c>
      <c r="B32" s="43">
        <v>701</v>
      </c>
      <c r="C32" s="49" t="s">
        <v>291</v>
      </c>
      <c r="D32" s="49" t="s">
        <v>305</v>
      </c>
      <c r="E32" s="49" t="s">
        <v>297</v>
      </c>
      <c r="F32" s="49" t="s">
        <v>241</v>
      </c>
      <c r="G32" s="50">
        <v>4858464.6399999997</v>
      </c>
      <c r="H32" s="50">
        <v>6198730</v>
      </c>
      <c r="I32" s="50">
        <v>6198730</v>
      </c>
    </row>
    <row r="33" spans="1:9" s="78" customFormat="1" x14ac:dyDescent="0.25">
      <c r="A33" s="26" t="s">
        <v>195</v>
      </c>
      <c r="B33" s="43">
        <v>701</v>
      </c>
      <c r="C33" s="49" t="s">
        <v>291</v>
      </c>
      <c r="D33" s="49" t="s">
        <v>305</v>
      </c>
      <c r="E33" s="49" t="s">
        <v>297</v>
      </c>
      <c r="F33" s="49" t="s">
        <v>246</v>
      </c>
      <c r="G33" s="50">
        <v>0</v>
      </c>
      <c r="H33" s="50">
        <v>0</v>
      </c>
      <c r="I33" s="50">
        <v>0</v>
      </c>
    </row>
    <row r="34" spans="1:9" s="78" customFormat="1" x14ac:dyDescent="0.25">
      <c r="A34" s="26" t="s">
        <v>196</v>
      </c>
      <c r="B34" s="43">
        <v>701</v>
      </c>
      <c r="C34" s="49" t="s">
        <v>291</v>
      </c>
      <c r="D34" s="49" t="s">
        <v>305</v>
      </c>
      <c r="E34" s="49" t="s">
        <v>297</v>
      </c>
      <c r="F34" s="49" t="s">
        <v>223</v>
      </c>
      <c r="G34" s="50">
        <v>153616</v>
      </c>
      <c r="H34" s="50">
        <v>153616</v>
      </c>
      <c r="I34" s="50">
        <v>153616</v>
      </c>
    </row>
    <row r="35" spans="1:9" ht="47.25" x14ac:dyDescent="0.25">
      <c r="A35" s="30" t="s">
        <v>308</v>
      </c>
      <c r="B35" s="43">
        <v>701</v>
      </c>
      <c r="C35" s="47" t="s">
        <v>291</v>
      </c>
      <c r="D35" s="47" t="s">
        <v>309</v>
      </c>
      <c r="E35" s="47"/>
      <c r="F35" s="47"/>
      <c r="G35" s="48">
        <v>45975617.810000002</v>
      </c>
      <c r="H35" s="48">
        <v>39410172.07</v>
      </c>
      <c r="I35" s="48">
        <v>39410172.07</v>
      </c>
    </row>
    <row r="36" spans="1:9" x14ac:dyDescent="0.25">
      <c r="A36" s="30" t="s">
        <v>294</v>
      </c>
      <c r="B36" s="43">
        <v>701</v>
      </c>
      <c r="C36" s="47" t="s">
        <v>291</v>
      </c>
      <c r="D36" s="47" t="s">
        <v>309</v>
      </c>
      <c r="E36" s="47" t="s">
        <v>295</v>
      </c>
      <c r="F36" s="47"/>
      <c r="G36" s="48">
        <v>45975617.810000002</v>
      </c>
      <c r="H36" s="48">
        <v>39410172.07</v>
      </c>
      <c r="I36" s="48">
        <v>39410172.07</v>
      </c>
    </row>
    <row r="37" spans="1:9" ht="30.75" x14ac:dyDescent="0.25">
      <c r="A37" s="26" t="s">
        <v>296</v>
      </c>
      <c r="B37" s="43">
        <v>701</v>
      </c>
      <c r="C37" s="49" t="s">
        <v>291</v>
      </c>
      <c r="D37" s="49" t="s">
        <v>309</v>
      </c>
      <c r="E37" s="49" t="s">
        <v>297</v>
      </c>
      <c r="F37" s="49"/>
      <c r="G37" s="50">
        <v>45975617.810000002</v>
      </c>
      <c r="H37" s="50">
        <v>39410172.07</v>
      </c>
      <c r="I37" s="50">
        <v>39410172.07</v>
      </c>
    </row>
    <row r="38" spans="1:9" ht="75.75" x14ac:dyDescent="0.25">
      <c r="A38" s="26" t="s">
        <v>193</v>
      </c>
      <c r="B38" s="43">
        <v>701</v>
      </c>
      <c r="C38" s="49" t="s">
        <v>291</v>
      </c>
      <c r="D38" s="49" t="s">
        <v>309</v>
      </c>
      <c r="E38" s="49" t="s">
        <v>297</v>
      </c>
      <c r="F38" s="49" t="s">
        <v>222</v>
      </c>
      <c r="G38" s="50">
        <v>43104758.810000002</v>
      </c>
      <c r="H38" s="50">
        <v>36089672.07</v>
      </c>
      <c r="I38" s="50">
        <v>36089672.07</v>
      </c>
    </row>
    <row r="39" spans="1:9" ht="30.75" x14ac:dyDescent="0.25">
      <c r="A39" s="26" t="s">
        <v>194</v>
      </c>
      <c r="B39" s="43">
        <v>701</v>
      </c>
      <c r="C39" s="49" t="s">
        <v>291</v>
      </c>
      <c r="D39" s="49" t="s">
        <v>309</v>
      </c>
      <c r="E39" s="49" t="s">
        <v>297</v>
      </c>
      <c r="F39" s="49" t="s">
        <v>241</v>
      </c>
      <c r="G39" s="50">
        <v>2870859</v>
      </c>
      <c r="H39" s="50">
        <v>3320500</v>
      </c>
      <c r="I39" s="50">
        <v>3320500</v>
      </c>
    </row>
    <row r="40" spans="1:9" hidden="1" x14ac:dyDescent="0.25">
      <c r="A40" s="26" t="s">
        <v>195</v>
      </c>
      <c r="B40" s="43">
        <v>701</v>
      </c>
      <c r="C40" s="49" t="s">
        <v>291</v>
      </c>
      <c r="D40" s="49" t="s">
        <v>309</v>
      </c>
      <c r="E40" s="49" t="s">
        <v>297</v>
      </c>
      <c r="F40" s="49" t="s">
        <v>246</v>
      </c>
      <c r="G40" s="50">
        <v>0</v>
      </c>
      <c r="H40" s="50">
        <v>0</v>
      </c>
      <c r="I40" s="50">
        <v>0</v>
      </c>
    </row>
    <row r="41" spans="1:9" s="23" customFormat="1" ht="31.5" x14ac:dyDescent="0.25">
      <c r="A41" s="30" t="s">
        <v>383</v>
      </c>
      <c r="B41" s="43">
        <v>701</v>
      </c>
      <c r="C41" s="47" t="s">
        <v>291</v>
      </c>
      <c r="D41" s="47" t="s">
        <v>345</v>
      </c>
      <c r="E41" s="47"/>
      <c r="F41" s="47"/>
      <c r="G41" s="48">
        <v>6970452</v>
      </c>
      <c r="H41" s="48">
        <v>0</v>
      </c>
      <c r="I41" s="48">
        <v>0</v>
      </c>
    </row>
    <row r="42" spans="1:9" s="23" customFormat="1" x14ac:dyDescent="0.25">
      <c r="A42" s="30" t="s">
        <v>294</v>
      </c>
      <c r="B42" s="43">
        <v>701</v>
      </c>
      <c r="C42" s="47" t="s">
        <v>291</v>
      </c>
      <c r="D42" s="47" t="s">
        <v>345</v>
      </c>
      <c r="E42" s="47" t="s">
        <v>295</v>
      </c>
      <c r="F42" s="47"/>
      <c r="G42" s="48">
        <v>6970452</v>
      </c>
      <c r="H42" s="48">
        <v>0</v>
      </c>
      <c r="I42" s="48">
        <v>0</v>
      </c>
    </row>
    <row r="43" spans="1:9" x14ac:dyDescent="0.25">
      <c r="A43" s="26" t="s">
        <v>382</v>
      </c>
      <c r="B43" s="43">
        <v>701</v>
      </c>
      <c r="C43" s="49" t="s">
        <v>291</v>
      </c>
      <c r="D43" s="49" t="s">
        <v>345</v>
      </c>
      <c r="E43" s="49" t="s">
        <v>381</v>
      </c>
      <c r="F43" s="49"/>
      <c r="G43" s="50">
        <v>6970452</v>
      </c>
      <c r="H43" s="50">
        <v>0</v>
      </c>
      <c r="I43" s="50">
        <v>0</v>
      </c>
    </row>
    <row r="44" spans="1:9" x14ac:dyDescent="0.25">
      <c r="A44" s="26" t="s">
        <v>196</v>
      </c>
      <c r="B44" s="43">
        <v>701</v>
      </c>
      <c r="C44" s="49" t="s">
        <v>291</v>
      </c>
      <c r="D44" s="49" t="s">
        <v>345</v>
      </c>
      <c r="E44" s="49" t="s">
        <v>381</v>
      </c>
      <c r="F44" s="49" t="s">
        <v>223</v>
      </c>
      <c r="G44" s="50">
        <v>6970452</v>
      </c>
      <c r="H44" s="50">
        <v>0</v>
      </c>
      <c r="I44" s="50">
        <v>0</v>
      </c>
    </row>
    <row r="45" spans="1:9" x14ac:dyDescent="0.25">
      <c r="A45" s="30" t="s">
        <v>312</v>
      </c>
      <c r="B45" s="43">
        <v>701</v>
      </c>
      <c r="C45" s="47" t="s">
        <v>291</v>
      </c>
      <c r="D45" s="47" t="s">
        <v>313</v>
      </c>
      <c r="E45" s="47"/>
      <c r="F45" s="47"/>
      <c r="G45" s="48">
        <f>G46</f>
        <v>20291093.75</v>
      </c>
      <c r="H45" s="48">
        <v>30000000</v>
      </c>
      <c r="I45" s="48">
        <v>30000000</v>
      </c>
    </row>
    <row r="46" spans="1:9" x14ac:dyDescent="0.25">
      <c r="A46" s="30" t="s">
        <v>294</v>
      </c>
      <c r="B46" s="43">
        <v>701</v>
      </c>
      <c r="C46" s="47" t="s">
        <v>291</v>
      </c>
      <c r="D46" s="47" t="s">
        <v>313</v>
      </c>
      <c r="E46" s="47" t="s">
        <v>295</v>
      </c>
      <c r="F46" s="47"/>
      <c r="G46" s="48">
        <f>G47</f>
        <v>20291093.75</v>
      </c>
      <c r="H46" s="48">
        <v>30000000</v>
      </c>
      <c r="I46" s="48">
        <v>30000000</v>
      </c>
    </row>
    <row r="47" spans="1:9" x14ac:dyDescent="0.25">
      <c r="A47" s="26" t="s">
        <v>384</v>
      </c>
      <c r="B47" s="43">
        <v>701</v>
      </c>
      <c r="C47" s="49" t="s">
        <v>291</v>
      </c>
      <c r="D47" s="49" t="s">
        <v>313</v>
      </c>
      <c r="E47" s="49" t="s">
        <v>315</v>
      </c>
      <c r="F47" s="49"/>
      <c r="G47" s="50">
        <f>G48</f>
        <v>20291093.75</v>
      </c>
      <c r="H47" s="50">
        <v>30000000</v>
      </c>
      <c r="I47" s="50">
        <v>30000000</v>
      </c>
    </row>
    <row r="48" spans="1:9" x14ac:dyDescent="0.25">
      <c r="A48" s="26" t="s">
        <v>196</v>
      </c>
      <c r="B48" s="43">
        <v>701</v>
      </c>
      <c r="C48" s="49" t="s">
        <v>291</v>
      </c>
      <c r="D48" s="49" t="s">
        <v>313</v>
      </c>
      <c r="E48" s="49" t="s">
        <v>315</v>
      </c>
      <c r="F48" s="49" t="s">
        <v>223</v>
      </c>
      <c r="G48" s="50">
        <v>20291093.75</v>
      </c>
      <c r="H48" s="50">
        <v>30000000</v>
      </c>
      <c r="I48" s="50">
        <v>30000000</v>
      </c>
    </row>
    <row r="49" spans="1:14" s="23" customFormat="1" x14ac:dyDescent="0.25">
      <c r="A49" s="30" t="s">
        <v>318</v>
      </c>
      <c r="B49" s="43">
        <v>701</v>
      </c>
      <c r="C49" s="47" t="s">
        <v>291</v>
      </c>
      <c r="D49" s="47" t="s">
        <v>319</v>
      </c>
      <c r="E49" s="47"/>
      <c r="F49" s="47"/>
      <c r="G49" s="48">
        <v>641658220.61000001</v>
      </c>
      <c r="H49" s="48">
        <v>472482842.31999999</v>
      </c>
      <c r="I49" s="48">
        <v>472482842.31999999</v>
      </c>
    </row>
    <row r="50" spans="1:14" ht="33.75" customHeight="1" x14ac:dyDescent="0.25">
      <c r="A50" s="30" t="s">
        <v>249</v>
      </c>
      <c r="B50" s="43">
        <v>701</v>
      </c>
      <c r="C50" s="47" t="s">
        <v>291</v>
      </c>
      <c r="D50" s="47" t="s">
        <v>319</v>
      </c>
      <c r="E50" s="47" t="s">
        <v>250</v>
      </c>
      <c r="F50" s="47"/>
      <c r="G50" s="48">
        <v>10018138.439999999</v>
      </c>
      <c r="H50" s="48">
        <v>9735155</v>
      </c>
      <c r="I50" s="48">
        <v>9735155</v>
      </c>
    </row>
    <row r="51" spans="1:14" ht="30.75" x14ac:dyDescent="0.25">
      <c r="A51" s="26" t="s">
        <v>251</v>
      </c>
      <c r="B51" s="43">
        <v>701</v>
      </c>
      <c r="C51" s="49" t="s">
        <v>291</v>
      </c>
      <c r="D51" s="49" t="s">
        <v>319</v>
      </c>
      <c r="E51" s="49" t="s">
        <v>252</v>
      </c>
      <c r="F51" s="49"/>
      <c r="G51" s="50">
        <v>10018138.439999999</v>
      </c>
      <c r="H51" s="50">
        <v>9735155</v>
      </c>
      <c r="I51" s="50">
        <v>9735155</v>
      </c>
    </row>
    <row r="52" spans="1:14" ht="30.75" x14ac:dyDescent="0.25">
      <c r="A52" s="26" t="s">
        <v>194</v>
      </c>
      <c r="B52" s="43">
        <v>701</v>
      </c>
      <c r="C52" s="49" t="s">
        <v>291</v>
      </c>
      <c r="D52" s="49" t="s">
        <v>319</v>
      </c>
      <c r="E52" s="49" t="s">
        <v>252</v>
      </c>
      <c r="F52" s="49" t="s">
        <v>241</v>
      </c>
      <c r="G52" s="50">
        <v>10018138.439999999</v>
      </c>
      <c r="H52" s="50">
        <v>9735155</v>
      </c>
      <c r="I52" s="50">
        <v>9735155</v>
      </c>
    </row>
    <row r="53" spans="1:14" ht="31.5" x14ac:dyDescent="0.25">
      <c r="A53" s="30" t="s">
        <v>256</v>
      </c>
      <c r="B53" s="43">
        <v>701</v>
      </c>
      <c r="C53" s="47" t="s">
        <v>291</v>
      </c>
      <c r="D53" s="47" t="s">
        <v>319</v>
      </c>
      <c r="E53" s="47" t="s">
        <v>257</v>
      </c>
      <c r="F53" s="47"/>
      <c r="G53" s="48">
        <v>79644558.199999988</v>
      </c>
      <c r="H53" s="48">
        <v>49068592.460000001</v>
      </c>
      <c r="I53" s="48">
        <v>49068592.460000001</v>
      </c>
    </row>
    <row r="54" spans="1:14" x14ac:dyDescent="0.25">
      <c r="A54" s="26" t="s">
        <v>191</v>
      </c>
      <c r="B54" s="43">
        <v>701</v>
      </c>
      <c r="C54" s="49" t="s">
        <v>291</v>
      </c>
      <c r="D54" s="49" t="s">
        <v>319</v>
      </c>
      <c r="E54" s="49" t="s">
        <v>258</v>
      </c>
      <c r="F54" s="49"/>
      <c r="G54" s="50">
        <v>34739127.619999997</v>
      </c>
      <c r="H54" s="50">
        <v>33419089.289999999</v>
      </c>
      <c r="I54" s="50">
        <v>33419089.289999999</v>
      </c>
      <c r="N54" s="20"/>
    </row>
    <row r="55" spans="1:14" ht="75.75" x14ac:dyDescent="0.25">
      <c r="A55" s="26" t="s">
        <v>193</v>
      </c>
      <c r="B55" s="43">
        <v>701</v>
      </c>
      <c r="C55" s="49" t="s">
        <v>291</v>
      </c>
      <c r="D55" s="49" t="s">
        <v>319</v>
      </c>
      <c r="E55" s="49" t="s">
        <v>258</v>
      </c>
      <c r="F55" s="49" t="s">
        <v>222</v>
      </c>
      <c r="G55" s="50">
        <v>32450934.109999999</v>
      </c>
      <c r="H55" s="50">
        <v>30799509</v>
      </c>
      <c r="I55" s="50">
        <v>30799509</v>
      </c>
    </row>
    <row r="56" spans="1:14" ht="30.75" x14ac:dyDescent="0.25">
      <c r="A56" s="26" t="s">
        <v>194</v>
      </c>
      <c r="B56" s="43">
        <v>701</v>
      </c>
      <c r="C56" s="49" t="s">
        <v>291</v>
      </c>
      <c r="D56" s="49" t="s">
        <v>319</v>
      </c>
      <c r="E56" s="49" t="s">
        <v>258</v>
      </c>
      <c r="F56" s="49" t="s">
        <v>241</v>
      </c>
      <c r="G56" s="50">
        <v>2259852.83</v>
      </c>
      <c r="H56" s="50">
        <v>2614580.29</v>
      </c>
      <c r="I56" s="50">
        <v>2614580.29</v>
      </c>
    </row>
    <row r="57" spans="1:14" x14ac:dyDescent="0.25">
      <c r="A57" s="26" t="s">
        <v>195</v>
      </c>
      <c r="B57" s="43">
        <v>702</v>
      </c>
      <c r="C57" s="49" t="s">
        <v>291</v>
      </c>
      <c r="D57" s="49" t="s">
        <v>319</v>
      </c>
      <c r="E57" s="49" t="s">
        <v>258</v>
      </c>
      <c r="F57" s="49" t="s">
        <v>246</v>
      </c>
      <c r="G57" s="50">
        <v>23340.68</v>
      </c>
      <c r="H57" s="50">
        <v>0</v>
      </c>
      <c r="I57" s="50">
        <v>0</v>
      </c>
    </row>
    <row r="58" spans="1:14" s="80" customFormat="1" x14ac:dyDescent="0.25">
      <c r="A58" s="26" t="s">
        <v>196</v>
      </c>
      <c r="B58" s="43">
        <v>701</v>
      </c>
      <c r="C58" s="49" t="s">
        <v>291</v>
      </c>
      <c r="D58" s="49" t="s">
        <v>319</v>
      </c>
      <c r="E58" s="49" t="s">
        <v>258</v>
      </c>
      <c r="F58" s="49" t="s">
        <v>223</v>
      </c>
      <c r="G58" s="50">
        <v>5000</v>
      </c>
      <c r="H58" s="50">
        <v>5000</v>
      </c>
      <c r="I58" s="50">
        <v>5000</v>
      </c>
    </row>
    <row r="59" spans="1:14" s="80" customFormat="1" x14ac:dyDescent="0.25">
      <c r="A59" s="81" t="s">
        <v>259</v>
      </c>
      <c r="B59" s="43">
        <v>701</v>
      </c>
      <c r="C59" s="47" t="s">
        <v>291</v>
      </c>
      <c r="D59" s="47" t="s">
        <v>319</v>
      </c>
      <c r="E59" s="47" t="s">
        <v>260</v>
      </c>
      <c r="F59" s="47"/>
      <c r="G59" s="48">
        <v>35851491.579999998</v>
      </c>
      <c r="H59" s="48">
        <v>12005877.25</v>
      </c>
      <c r="I59" s="48">
        <v>12005877.25</v>
      </c>
    </row>
    <row r="60" spans="1:14" s="80" customFormat="1" ht="31.5" customHeight="1" x14ac:dyDescent="0.25">
      <c r="A60" s="26" t="s">
        <v>194</v>
      </c>
      <c r="B60" s="43">
        <v>701</v>
      </c>
      <c r="C60" s="49" t="s">
        <v>291</v>
      </c>
      <c r="D60" s="49" t="s">
        <v>319</v>
      </c>
      <c r="E60" s="49" t="s">
        <v>260</v>
      </c>
      <c r="F60" s="49" t="s">
        <v>241</v>
      </c>
      <c r="G60" s="50">
        <v>15515922.57</v>
      </c>
      <c r="H60" s="50">
        <v>11995877.25</v>
      </c>
      <c r="I60" s="50">
        <v>11995877.25</v>
      </c>
    </row>
    <row r="61" spans="1:14" s="80" customFormat="1" ht="30.75" x14ac:dyDescent="0.25">
      <c r="A61" s="26" t="s">
        <v>261</v>
      </c>
      <c r="B61" s="43">
        <v>701</v>
      </c>
      <c r="C61" s="49" t="s">
        <v>291</v>
      </c>
      <c r="D61" s="49" t="s">
        <v>319</v>
      </c>
      <c r="E61" s="49" t="s">
        <v>260</v>
      </c>
      <c r="F61" s="49" t="s">
        <v>255</v>
      </c>
      <c r="G61" s="50">
        <v>16325569.01</v>
      </c>
      <c r="H61" s="50">
        <v>0</v>
      </c>
      <c r="I61" s="50">
        <v>0</v>
      </c>
    </row>
    <row r="62" spans="1:14" s="80" customFormat="1" x14ac:dyDescent="0.25">
      <c r="A62" s="26" t="s">
        <v>196</v>
      </c>
      <c r="B62" s="43">
        <v>701</v>
      </c>
      <c r="C62" s="49" t="s">
        <v>291</v>
      </c>
      <c r="D62" s="49" t="s">
        <v>319</v>
      </c>
      <c r="E62" s="49" t="s">
        <v>260</v>
      </c>
      <c r="F62" s="49" t="s">
        <v>223</v>
      </c>
      <c r="G62" s="50">
        <v>4010000</v>
      </c>
      <c r="H62" s="50">
        <v>10000</v>
      </c>
      <c r="I62" s="50">
        <v>10000</v>
      </c>
    </row>
    <row r="63" spans="1:14" s="80" customFormat="1" ht="31.5" x14ac:dyDescent="0.25">
      <c r="A63" s="27" t="s">
        <v>262</v>
      </c>
      <c r="B63" s="43">
        <v>701</v>
      </c>
      <c r="C63" s="47" t="s">
        <v>291</v>
      </c>
      <c r="D63" s="47" t="s">
        <v>319</v>
      </c>
      <c r="E63" s="47" t="s">
        <v>263</v>
      </c>
      <c r="F63" s="47"/>
      <c r="G63" s="48">
        <v>9053939</v>
      </c>
      <c r="H63" s="48">
        <v>3643625.92</v>
      </c>
      <c r="I63" s="48">
        <v>3643625.92</v>
      </c>
    </row>
    <row r="64" spans="1:14" ht="63.75" customHeight="1" x14ac:dyDescent="0.25">
      <c r="A64" s="26" t="s">
        <v>194</v>
      </c>
      <c r="B64" s="43">
        <v>701</v>
      </c>
      <c r="C64" s="49" t="s">
        <v>291</v>
      </c>
      <c r="D64" s="49" t="s">
        <v>319</v>
      </c>
      <c r="E64" s="49" t="s">
        <v>263</v>
      </c>
      <c r="F64" s="49" t="s">
        <v>241</v>
      </c>
      <c r="G64" s="50">
        <v>9053939</v>
      </c>
      <c r="H64" s="50">
        <v>3643625.92</v>
      </c>
      <c r="I64" s="50">
        <v>3643625.92</v>
      </c>
    </row>
    <row r="65" spans="1:9" ht="30.75" x14ac:dyDescent="0.25">
      <c r="A65" s="26" t="s">
        <v>261</v>
      </c>
      <c r="B65" s="43">
        <v>701</v>
      </c>
      <c r="C65" s="49" t="s">
        <v>291</v>
      </c>
      <c r="D65" s="49" t="s">
        <v>319</v>
      </c>
      <c r="E65" s="49" t="s">
        <v>263</v>
      </c>
      <c r="F65" s="49" t="s">
        <v>255</v>
      </c>
      <c r="G65" s="50">
        <v>0</v>
      </c>
      <c r="H65" s="50">
        <v>0</v>
      </c>
      <c r="I65" s="50">
        <v>0</v>
      </c>
    </row>
    <row r="66" spans="1:9" x14ac:dyDescent="0.25">
      <c r="A66" s="26" t="s">
        <v>196</v>
      </c>
      <c r="B66" s="43">
        <v>701</v>
      </c>
      <c r="C66" s="49" t="s">
        <v>291</v>
      </c>
      <c r="D66" s="49" t="s">
        <v>319</v>
      </c>
      <c r="E66" s="49" t="s">
        <v>263</v>
      </c>
      <c r="F66" s="49" t="s">
        <v>223</v>
      </c>
      <c r="G66" s="50">
        <v>0</v>
      </c>
      <c r="H66" s="50">
        <v>0</v>
      </c>
      <c r="I66" s="50">
        <v>0</v>
      </c>
    </row>
    <row r="67" spans="1:9" x14ac:dyDescent="0.25">
      <c r="A67" s="30" t="s">
        <v>294</v>
      </c>
      <c r="B67" s="43">
        <v>701</v>
      </c>
      <c r="C67" s="47" t="s">
        <v>291</v>
      </c>
      <c r="D67" s="47" t="s">
        <v>319</v>
      </c>
      <c r="E67" s="43">
        <v>9900000000</v>
      </c>
      <c r="F67" s="47"/>
      <c r="G67" s="48">
        <v>551995523.97000003</v>
      </c>
      <c r="H67" s="48">
        <v>413679094.86000001</v>
      </c>
      <c r="I67" s="48">
        <v>413679094.86000001</v>
      </c>
    </row>
    <row r="68" spans="1:9" ht="30.75" x14ac:dyDescent="0.25">
      <c r="A68" s="26" t="s">
        <v>296</v>
      </c>
      <c r="B68" s="43">
        <v>701</v>
      </c>
      <c r="C68" s="49" t="s">
        <v>291</v>
      </c>
      <c r="D68" s="49" t="s">
        <v>319</v>
      </c>
      <c r="E68" s="40">
        <v>9910000000</v>
      </c>
      <c r="F68" s="49"/>
      <c r="G68" s="50">
        <v>446950562.29000002</v>
      </c>
      <c r="H68" s="50">
        <v>408093714.86000001</v>
      </c>
      <c r="I68" s="50">
        <v>408093714.86000001</v>
      </c>
    </row>
    <row r="69" spans="1:9" ht="75.75" x14ac:dyDescent="0.25">
      <c r="A69" s="26" t="s">
        <v>193</v>
      </c>
      <c r="B69" s="43">
        <v>701</v>
      </c>
      <c r="C69" s="49" t="s">
        <v>291</v>
      </c>
      <c r="D69" s="49" t="s">
        <v>319</v>
      </c>
      <c r="E69" s="40">
        <v>9910000000</v>
      </c>
      <c r="F69" s="49" t="s">
        <v>222</v>
      </c>
      <c r="G69" s="50">
        <v>138264673.59999999</v>
      </c>
      <c r="H69" s="50">
        <v>131394775.41999999</v>
      </c>
      <c r="I69" s="50">
        <v>131394775.41999999</v>
      </c>
    </row>
    <row r="70" spans="1:9" ht="30.75" x14ac:dyDescent="0.25">
      <c r="A70" s="26" t="s">
        <v>194</v>
      </c>
      <c r="B70" s="43">
        <v>701</v>
      </c>
      <c r="C70" s="49" t="s">
        <v>291</v>
      </c>
      <c r="D70" s="49" t="s">
        <v>319</v>
      </c>
      <c r="E70" s="40">
        <v>9910000000</v>
      </c>
      <c r="F70" s="49" t="s">
        <v>241</v>
      </c>
      <c r="G70" s="50">
        <v>16840793.620000001</v>
      </c>
      <c r="H70" s="50">
        <v>18789326.620000001</v>
      </c>
      <c r="I70" s="50">
        <v>18789326.620000001</v>
      </c>
    </row>
    <row r="71" spans="1:9" x14ac:dyDescent="0.25">
      <c r="A71" s="26" t="s">
        <v>195</v>
      </c>
      <c r="B71" s="43">
        <v>701</v>
      </c>
      <c r="C71" s="49" t="s">
        <v>291</v>
      </c>
      <c r="D71" s="49" t="s">
        <v>319</v>
      </c>
      <c r="E71" s="40">
        <v>9910000000</v>
      </c>
      <c r="F71" s="49" t="s">
        <v>246</v>
      </c>
      <c r="G71" s="50">
        <v>3450.84</v>
      </c>
      <c r="H71" s="50">
        <v>0</v>
      </c>
      <c r="I71" s="50">
        <v>0</v>
      </c>
    </row>
    <row r="72" spans="1:9" ht="30.75" x14ac:dyDescent="0.25">
      <c r="A72" s="25" t="s">
        <v>201</v>
      </c>
      <c r="B72" s="43">
        <v>701</v>
      </c>
      <c r="C72" s="49" t="s">
        <v>291</v>
      </c>
      <c r="D72" s="49" t="s">
        <v>319</v>
      </c>
      <c r="E72" s="40">
        <v>9910000000</v>
      </c>
      <c r="F72" s="49" t="s">
        <v>321</v>
      </c>
      <c r="G72" s="50">
        <v>290760354.23000002</v>
      </c>
      <c r="H72" s="50">
        <v>256831322.81999999</v>
      </c>
      <c r="I72" s="50">
        <v>256831322.81999999</v>
      </c>
    </row>
    <row r="73" spans="1:9" x14ac:dyDescent="0.25">
      <c r="A73" s="26" t="s">
        <v>196</v>
      </c>
      <c r="B73" s="43">
        <v>701</v>
      </c>
      <c r="C73" s="49" t="s">
        <v>291</v>
      </c>
      <c r="D73" s="49" t="s">
        <v>319</v>
      </c>
      <c r="E73" s="40">
        <v>9910000000</v>
      </c>
      <c r="F73" s="49" t="s">
        <v>223</v>
      </c>
      <c r="G73" s="50">
        <v>1081290</v>
      </c>
      <c r="H73" s="50">
        <v>1078290</v>
      </c>
      <c r="I73" s="50">
        <v>1078290</v>
      </c>
    </row>
    <row r="74" spans="1:9" s="80" customFormat="1" x14ac:dyDescent="0.25">
      <c r="A74" s="26" t="s">
        <v>314</v>
      </c>
      <c r="B74" s="43">
        <v>701</v>
      </c>
      <c r="C74" s="49" t="s">
        <v>291</v>
      </c>
      <c r="D74" s="49" t="s">
        <v>319</v>
      </c>
      <c r="E74" s="49" t="s">
        <v>315</v>
      </c>
      <c r="F74" s="49"/>
      <c r="G74" s="50">
        <v>105044961.68000001</v>
      </c>
      <c r="H74" s="50">
        <v>5585380</v>
      </c>
      <c r="I74" s="50">
        <v>5585380</v>
      </c>
    </row>
    <row r="75" spans="1:9" s="78" customFormat="1" ht="30.75" x14ac:dyDescent="0.25">
      <c r="A75" s="26" t="s">
        <v>194</v>
      </c>
      <c r="B75" s="43">
        <v>701</v>
      </c>
      <c r="C75" s="49" t="s">
        <v>291</v>
      </c>
      <c r="D75" s="49" t="s">
        <v>319</v>
      </c>
      <c r="E75" s="49" t="s">
        <v>315</v>
      </c>
      <c r="F75" s="49" t="s">
        <v>241</v>
      </c>
      <c r="G75" s="50">
        <v>58627257.170000002</v>
      </c>
      <c r="H75" s="50">
        <v>5355500</v>
      </c>
      <c r="I75" s="50">
        <v>5355500</v>
      </c>
    </row>
    <row r="76" spans="1:9" s="80" customFormat="1" x14ac:dyDescent="0.25">
      <c r="A76" s="26" t="s">
        <v>195</v>
      </c>
      <c r="B76" s="43">
        <v>701</v>
      </c>
      <c r="C76" s="49" t="s">
        <v>291</v>
      </c>
      <c r="D76" s="49" t="s">
        <v>319</v>
      </c>
      <c r="E76" s="49" t="s">
        <v>315</v>
      </c>
      <c r="F76" s="49" t="s">
        <v>246</v>
      </c>
      <c r="G76" s="50">
        <v>3265744.5</v>
      </c>
      <c r="H76" s="50">
        <v>229880</v>
      </c>
      <c r="I76" s="50">
        <v>229880</v>
      </c>
    </row>
    <row r="77" spans="1:9" s="80" customFormat="1" ht="30.75" x14ac:dyDescent="0.25">
      <c r="A77" s="25" t="s">
        <v>201</v>
      </c>
      <c r="B77" s="43">
        <v>701</v>
      </c>
      <c r="C77" s="49" t="s">
        <v>291</v>
      </c>
      <c r="D77" s="49" t="s">
        <v>319</v>
      </c>
      <c r="E77" s="49" t="s">
        <v>315</v>
      </c>
      <c r="F77" s="49" t="s">
        <v>321</v>
      </c>
      <c r="G77" s="50">
        <v>14418402.719999999</v>
      </c>
      <c r="H77" s="50">
        <v>0</v>
      </c>
      <c r="I77" s="50">
        <v>0</v>
      </c>
    </row>
    <row r="78" spans="1:9" s="80" customFormat="1" x14ac:dyDescent="0.25">
      <c r="A78" s="26" t="s">
        <v>196</v>
      </c>
      <c r="B78" s="43">
        <v>701</v>
      </c>
      <c r="C78" s="49" t="s">
        <v>291</v>
      </c>
      <c r="D78" s="49" t="s">
        <v>319</v>
      </c>
      <c r="E78" s="49" t="s">
        <v>315</v>
      </c>
      <c r="F78" s="49" t="s">
        <v>223</v>
      </c>
      <c r="G78" s="50">
        <v>28733557.289999999</v>
      </c>
      <c r="H78" s="50">
        <v>0</v>
      </c>
      <c r="I78" s="50">
        <v>0</v>
      </c>
    </row>
    <row r="79" spans="1:9" s="82" customFormat="1" x14ac:dyDescent="0.25">
      <c r="A79" s="28" t="s">
        <v>557</v>
      </c>
      <c r="B79" s="43">
        <v>701</v>
      </c>
      <c r="C79" s="47" t="s">
        <v>293</v>
      </c>
      <c r="D79" s="47"/>
      <c r="E79" s="47"/>
      <c r="F79" s="47"/>
      <c r="G79" s="48">
        <f>G80</f>
        <v>15000000</v>
      </c>
      <c r="H79" s="48">
        <f t="shared" ref="H79:I82" si="0">H80</f>
        <v>0</v>
      </c>
      <c r="I79" s="48">
        <f t="shared" si="0"/>
        <v>0</v>
      </c>
    </row>
    <row r="80" spans="1:9" s="82" customFormat="1" x14ac:dyDescent="0.25">
      <c r="A80" s="28" t="s">
        <v>558</v>
      </c>
      <c r="B80" s="43">
        <v>701</v>
      </c>
      <c r="C80" s="47" t="s">
        <v>293</v>
      </c>
      <c r="D80" s="47" t="s">
        <v>301</v>
      </c>
      <c r="E80" s="47"/>
      <c r="F80" s="47"/>
      <c r="G80" s="48">
        <f>G81</f>
        <v>15000000</v>
      </c>
      <c r="H80" s="48">
        <f t="shared" si="0"/>
        <v>0</v>
      </c>
      <c r="I80" s="48">
        <f t="shared" si="0"/>
        <v>0</v>
      </c>
    </row>
    <row r="81" spans="1:9" s="82" customFormat="1" x14ac:dyDescent="0.25">
      <c r="A81" s="28" t="s">
        <v>294</v>
      </c>
      <c r="B81" s="43">
        <v>701</v>
      </c>
      <c r="C81" s="47" t="s">
        <v>293</v>
      </c>
      <c r="D81" s="47" t="s">
        <v>301</v>
      </c>
      <c r="E81" s="43">
        <v>9900000000</v>
      </c>
      <c r="F81" s="47"/>
      <c r="G81" s="48">
        <f>G82</f>
        <v>15000000</v>
      </c>
      <c r="H81" s="48">
        <f t="shared" si="0"/>
        <v>0</v>
      </c>
      <c r="I81" s="48">
        <f t="shared" si="0"/>
        <v>0</v>
      </c>
    </row>
    <row r="82" spans="1:9" s="80" customFormat="1" x14ac:dyDescent="0.25">
      <c r="A82" s="26" t="s">
        <v>314</v>
      </c>
      <c r="B82" s="43">
        <v>701</v>
      </c>
      <c r="C82" s="49" t="s">
        <v>293</v>
      </c>
      <c r="D82" s="49" t="s">
        <v>301</v>
      </c>
      <c r="E82" s="40">
        <v>9950000000</v>
      </c>
      <c r="F82" s="49"/>
      <c r="G82" s="50">
        <f>G83</f>
        <v>15000000</v>
      </c>
      <c r="H82" s="50">
        <f t="shared" si="0"/>
        <v>0</v>
      </c>
      <c r="I82" s="50">
        <f t="shared" si="0"/>
        <v>0</v>
      </c>
    </row>
    <row r="83" spans="1:9" s="80" customFormat="1" ht="30.75" x14ac:dyDescent="0.25">
      <c r="A83" s="26" t="s">
        <v>194</v>
      </c>
      <c r="B83" s="43">
        <v>701</v>
      </c>
      <c r="C83" s="49" t="s">
        <v>293</v>
      </c>
      <c r="D83" s="49" t="s">
        <v>301</v>
      </c>
      <c r="E83" s="40">
        <v>9950000000</v>
      </c>
      <c r="F83" s="49" t="s">
        <v>241</v>
      </c>
      <c r="G83" s="50">
        <v>15000000</v>
      </c>
      <c r="H83" s="50">
        <v>0</v>
      </c>
      <c r="I83" s="50">
        <v>0</v>
      </c>
    </row>
    <row r="84" spans="1:9" s="82" customFormat="1" ht="31.5" x14ac:dyDescent="0.25">
      <c r="A84" s="30" t="s">
        <v>326</v>
      </c>
      <c r="B84" s="43">
        <v>701</v>
      </c>
      <c r="C84" s="47" t="s">
        <v>301</v>
      </c>
      <c r="D84" s="47"/>
      <c r="E84" s="47"/>
      <c r="F84" s="47"/>
      <c r="G84" s="48">
        <v>15019222.91</v>
      </c>
      <c r="H84" s="48">
        <v>14655349</v>
      </c>
      <c r="I84" s="48">
        <v>14655349</v>
      </c>
    </row>
    <row r="85" spans="1:9" s="82" customFormat="1" ht="63" x14ac:dyDescent="0.25">
      <c r="A85" s="30" t="s">
        <v>327</v>
      </c>
      <c r="B85" s="43">
        <v>701</v>
      </c>
      <c r="C85" s="47" t="s">
        <v>301</v>
      </c>
      <c r="D85" s="47" t="s">
        <v>328</v>
      </c>
      <c r="E85" s="47"/>
      <c r="F85" s="47"/>
      <c r="G85" s="48">
        <v>15019222.91</v>
      </c>
      <c r="H85" s="48">
        <v>14655349</v>
      </c>
      <c r="I85" s="48">
        <v>14655349</v>
      </c>
    </row>
    <row r="86" spans="1:9" s="80" customFormat="1" x14ac:dyDescent="0.25">
      <c r="A86" s="28" t="s">
        <v>294</v>
      </c>
      <c r="B86" s="43">
        <v>701</v>
      </c>
      <c r="C86" s="47" t="s">
        <v>301</v>
      </c>
      <c r="D86" s="47" t="s">
        <v>328</v>
      </c>
      <c r="E86" s="43">
        <v>9900000000</v>
      </c>
      <c r="F86" s="43"/>
      <c r="G86" s="48">
        <v>15019222.91</v>
      </c>
      <c r="H86" s="48">
        <v>14655349</v>
      </c>
      <c r="I86" s="48">
        <v>14655349</v>
      </c>
    </row>
    <row r="87" spans="1:9" s="80" customFormat="1" ht="30.75" x14ac:dyDescent="0.25">
      <c r="A87" s="26" t="s">
        <v>296</v>
      </c>
      <c r="B87" s="43">
        <v>701</v>
      </c>
      <c r="C87" s="49" t="s">
        <v>301</v>
      </c>
      <c r="D87" s="49" t="s">
        <v>328</v>
      </c>
      <c r="E87" s="40">
        <v>9910000000</v>
      </c>
      <c r="F87" s="40"/>
      <c r="G87" s="50">
        <v>14019222.91</v>
      </c>
      <c r="H87" s="50">
        <v>13155349</v>
      </c>
      <c r="I87" s="50">
        <v>13155349</v>
      </c>
    </row>
    <row r="88" spans="1:9" s="80" customFormat="1" ht="75.75" x14ac:dyDescent="0.25">
      <c r="A88" s="26" t="s">
        <v>193</v>
      </c>
      <c r="B88" s="43">
        <v>701</v>
      </c>
      <c r="C88" s="49" t="s">
        <v>301</v>
      </c>
      <c r="D88" s="49" t="s">
        <v>328</v>
      </c>
      <c r="E88" s="40">
        <v>9910000000</v>
      </c>
      <c r="F88" s="49" t="s">
        <v>222</v>
      </c>
      <c r="G88" s="50">
        <v>10643176.91</v>
      </c>
      <c r="H88" s="50">
        <v>9415554</v>
      </c>
      <c r="I88" s="50">
        <v>9415554</v>
      </c>
    </row>
    <row r="89" spans="1:9" s="80" customFormat="1" ht="30.75" x14ac:dyDescent="0.25">
      <c r="A89" s="26" t="s">
        <v>194</v>
      </c>
      <c r="B89" s="43">
        <v>701</v>
      </c>
      <c r="C89" s="49" t="s">
        <v>301</v>
      </c>
      <c r="D89" s="49" t="s">
        <v>328</v>
      </c>
      <c r="E89" s="40">
        <v>9910000000</v>
      </c>
      <c r="F89" s="49" t="s">
        <v>241</v>
      </c>
      <c r="G89" s="50">
        <v>3374966</v>
      </c>
      <c r="H89" s="50">
        <v>3738715</v>
      </c>
      <c r="I89" s="50">
        <v>3738715</v>
      </c>
    </row>
    <row r="90" spans="1:9" s="80" customFormat="1" x14ac:dyDescent="0.25">
      <c r="A90" s="26" t="s">
        <v>196</v>
      </c>
      <c r="B90" s="43">
        <v>701</v>
      </c>
      <c r="C90" s="49" t="s">
        <v>301</v>
      </c>
      <c r="D90" s="49" t="s">
        <v>328</v>
      </c>
      <c r="E90" s="40">
        <v>9910000000</v>
      </c>
      <c r="F90" s="40">
        <v>800</v>
      </c>
      <c r="G90" s="50">
        <v>1080</v>
      </c>
      <c r="H90" s="50">
        <v>1080</v>
      </c>
      <c r="I90" s="50">
        <v>1080</v>
      </c>
    </row>
    <row r="91" spans="1:9" s="80" customFormat="1" x14ac:dyDescent="0.25">
      <c r="A91" s="26" t="s">
        <v>314</v>
      </c>
      <c r="B91" s="43">
        <v>701</v>
      </c>
      <c r="C91" s="49" t="s">
        <v>301</v>
      </c>
      <c r="D91" s="49" t="s">
        <v>328</v>
      </c>
      <c r="E91" s="40">
        <v>9950000000</v>
      </c>
      <c r="F91" s="40"/>
      <c r="G91" s="50">
        <v>1000000</v>
      </c>
      <c r="H91" s="50">
        <v>1500000</v>
      </c>
      <c r="I91" s="50">
        <v>1500000</v>
      </c>
    </row>
    <row r="92" spans="1:9" s="80" customFormat="1" ht="30.75" x14ac:dyDescent="0.25">
      <c r="A92" s="26" t="s">
        <v>194</v>
      </c>
      <c r="B92" s="43">
        <v>701</v>
      </c>
      <c r="C92" s="49" t="s">
        <v>301</v>
      </c>
      <c r="D92" s="49" t="s">
        <v>328</v>
      </c>
      <c r="E92" s="40">
        <v>9950000000</v>
      </c>
      <c r="F92" s="40">
        <v>200</v>
      </c>
      <c r="G92" s="50">
        <v>1000000</v>
      </c>
      <c r="H92" s="50">
        <v>1500000</v>
      </c>
      <c r="I92" s="50">
        <v>1500000</v>
      </c>
    </row>
    <row r="93" spans="1:9" s="82" customFormat="1" x14ac:dyDescent="0.25">
      <c r="A93" s="30" t="s">
        <v>331</v>
      </c>
      <c r="B93" s="43">
        <v>701</v>
      </c>
      <c r="C93" s="47" t="s">
        <v>305</v>
      </c>
      <c r="D93" s="47"/>
      <c r="E93" s="47"/>
      <c r="F93" s="47"/>
      <c r="G93" s="48">
        <v>292879660.90999997</v>
      </c>
      <c r="H93" s="48">
        <v>104772258.22</v>
      </c>
      <c r="I93" s="48">
        <v>105663739.58</v>
      </c>
    </row>
    <row r="94" spans="1:9" s="82" customFormat="1" x14ac:dyDescent="0.25">
      <c r="A94" s="30" t="s">
        <v>332</v>
      </c>
      <c r="B94" s="43">
        <v>701</v>
      </c>
      <c r="C94" s="47" t="s">
        <v>305</v>
      </c>
      <c r="D94" s="47" t="s">
        <v>291</v>
      </c>
      <c r="E94" s="47"/>
      <c r="F94" s="47"/>
      <c r="G94" s="48">
        <v>305784.54999999993</v>
      </c>
      <c r="H94" s="48">
        <v>847554.33</v>
      </c>
      <c r="I94" s="48">
        <v>847554.33</v>
      </c>
    </row>
    <row r="95" spans="1:9" s="82" customFormat="1" x14ac:dyDescent="0.25">
      <c r="A95" s="30" t="s">
        <v>294</v>
      </c>
      <c r="B95" s="43">
        <v>701</v>
      </c>
      <c r="C95" s="47" t="s">
        <v>305</v>
      </c>
      <c r="D95" s="47" t="s">
        <v>291</v>
      </c>
      <c r="E95" s="47">
        <v>9900000000</v>
      </c>
      <c r="F95" s="47"/>
      <c r="G95" s="48">
        <v>305784.54999999993</v>
      </c>
      <c r="H95" s="48">
        <v>847554.33</v>
      </c>
      <c r="I95" s="48">
        <v>847554.33</v>
      </c>
    </row>
    <row r="96" spans="1:9" s="82" customFormat="1" ht="30.75" x14ac:dyDescent="0.25">
      <c r="A96" s="26" t="s">
        <v>296</v>
      </c>
      <c r="B96" s="43">
        <v>701</v>
      </c>
      <c r="C96" s="49" t="s">
        <v>305</v>
      </c>
      <c r="D96" s="49" t="s">
        <v>291</v>
      </c>
      <c r="E96" s="49" t="s">
        <v>297</v>
      </c>
      <c r="F96" s="49"/>
      <c r="G96" s="50">
        <v>305784.54999999993</v>
      </c>
      <c r="H96" s="50">
        <v>847554.33</v>
      </c>
      <c r="I96" s="50">
        <v>847554.33</v>
      </c>
    </row>
    <row r="97" spans="1:9" s="82" customFormat="1" ht="75.75" x14ac:dyDescent="0.25">
      <c r="A97" s="26" t="s">
        <v>193</v>
      </c>
      <c r="B97" s="43">
        <v>701</v>
      </c>
      <c r="C97" s="49" t="s">
        <v>305</v>
      </c>
      <c r="D97" s="49" t="s">
        <v>291</v>
      </c>
      <c r="E97" s="49" t="s">
        <v>297</v>
      </c>
      <c r="F97" s="49" t="s">
        <v>222</v>
      </c>
      <c r="G97" s="50">
        <v>305784.54999999993</v>
      </c>
      <c r="H97" s="50">
        <v>847554.33</v>
      </c>
      <c r="I97" s="50">
        <v>847554.33</v>
      </c>
    </row>
    <row r="98" spans="1:9" s="82" customFormat="1" x14ac:dyDescent="0.25">
      <c r="A98" s="30" t="s">
        <v>333</v>
      </c>
      <c r="B98" s="43">
        <v>701</v>
      </c>
      <c r="C98" s="47" t="s">
        <v>305</v>
      </c>
      <c r="D98" s="47" t="s">
        <v>334</v>
      </c>
      <c r="E98" s="47"/>
      <c r="F98" s="47"/>
      <c r="G98" s="48">
        <v>123028447.82999998</v>
      </c>
      <c r="H98" s="48">
        <v>66602509.390000001</v>
      </c>
      <c r="I98" s="48">
        <v>67493990.75</v>
      </c>
    </row>
    <row r="99" spans="1:9" s="82" customFormat="1" ht="63" x14ac:dyDescent="0.25">
      <c r="A99" s="30" t="s">
        <v>218</v>
      </c>
      <c r="B99" s="43">
        <v>701</v>
      </c>
      <c r="C99" s="47" t="s">
        <v>305</v>
      </c>
      <c r="D99" s="47" t="s">
        <v>334</v>
      </c>
      <c r="E99" s="47" t="s">
        <v>219</v>
      </c>
      <c r="F99" s="47"/>
      <c r="G99" s="48">
        <v>99205561.61999999</v>
      </c>
      <c r="H99" s="48">
        <v>61634121.07</v>
      </c>
      <c r="I99" s="48">
        <v>62525602.43</v>
      </c>
    </row>
    <row r="100" spans="1:9" s="82" customFormat="1" x14ac:dyDescent="0.25">
      <c r="A100" s="26" t="s">
        <v>220</v>
      </c>
      <c r="B100" s="43">
        <v>701</v>
      </c>
      <c r="C100" s="49" t="s">
        <v>305</v>
      </c>
      <c r="D100" s="49" t="s">
        <v>334</v>
      </c>
      <c r="E100" s="49" t="s">
        <v>221</v>
      </c>
      <c r="F100" s="49"/>
      <c r="G100" s="50">
        <v>1907618.8499999999</v>
      </c>
      <c r="H100" s="50">
        <v>2491566.61</v>
      </c>
      <c r="I100" s="50">
        <v>2491566.61</v>
      </c>
    </row>
    <row r="101" spans="1:9" s="82" customFormat="1" ht="75.75" x14ac:dyDescent="0.25">
      <c r="A101" s="26" t="s">
        <v>193</v>
      </c>
      <c r="B101" s="43">
        <v>701</v>
      </c>
      <c r="C101" s="49" t="s">
        <v>305</v>
      </c>
      <c r="D101" s="49" t="s">
        <v>334</v>
      </c>
      <c r="E101" s="49" t="s">
        <v>221</v>
      </c>
      <c r="F101" s="49" t="s">
        <v>222</v>
      </c>
      <c r="G101" s="50">
        <v>711398.65999999992</v>
      </c>
      <c r="H101" s="50">
        <v>1295346.42</v>
      </c>
      <c r="I101" s="50">
        <v>1295346.42</v>
      </c>
    </row>
    <row r="102" spans="1:9" s="82" customFormat="1" ht="30.75" x14ac:dyDescent="0.25">
      <c r="A102" s="25" t="s">
        <v>194</v>
      </c>
      <c r="B102" s="43">
        <v>701</v>
      </c>
      <c r="C102" s="49" t="s">
        <v>305</v>
      </c>
      <c r="D102" s="49" t="s">
        <v>334</v>
      </c>
      <c r="E102" s="49" t="s">
        <v>221</v>
      </c>
      <c r="F102" s="67">
        <v>200</v>
      </c>
      <c r="G102" s="50">
        <v>1196220.19</v>
      </c>
      <c r="H102" s="50">
        <v>1196220.19</v>
      </c>
      <c r="I102" s="50">
        <v>1196220.19</v>
      </c>
    </row>
    <row r="103" spans="1:9" s="82" customFormat="1" ht="30.75" x14ac:dyDescent="0.25">
      <c r="A103" s="25" t="s">
        <v>285</v>
      </c>
      <c r="B103" s="43">
        <v>701</v>
      </c>
      <c r="C103" s="49" t="s">
        <v>305</v>
      </c>
      <c r="D103" s="49" t="s">
        <v>334</v>
      </c>
      <c r="E103" s="49" t="s">
        <v>284</v>
      </c>
      <c r="F103" s="67"/>
      <c r="G103" s="50">
        <v>97297942.769999996</v>
      </c>
      <c r="H103" s="50">
        <v>59142554.460000001</v>
      </c>
      <c r="I103" s="50">
        <v>60034035.82</v>
      </c>
    </row>
    <row r="104" spans="1:9" s="82" customFormat="1" x14ac:dyDescent="0.25">
      <c r="A104" s="25" t="s">
        <v>196</v>
      </c>
      <c r="B104" s="43">
        <v>701</v>
      </c>
      <c r="C104" s="49" t="s">
        <v>305</v>
      </c>
      <c r="D104" s="49" t="s">
        <v>334</v>
      </c>
      <c r="E104" s="49" t="s">
        <v>284</v>
      </c>
      <c r="F104" s="67">
        <v>800</v>
      </c>
      <c r="G104" s="50">
        <v>97297942.769999996</v>
      </c>
      <c r="H104" s="50">
        <v>59142554.460000001</v>
      </c>
      <c r="I104" s="50">
        <v>60034035.82</v>
      </c>
    </row>
    <row r="105" spans="1:9" s="82" customFormat="1" x14ac:dyDescent="0.25">
      <c r="A105" s="28" t="s">
        <v>294</v>
      </c>
      <c r="B105" s="43">
        <v>701</v>
      </c>
      <c r="C105" s="47" t="s">
        <v>305</v>
      </c>
      <c r="D105" s="47" t="s">
        <v>334</v>
      </c>
      <c r="E105" s="47">
        <v>9900000000</v>
      </c>
      <c r="F105" s="40"/>
      <c r="G105" s="50">
        <v>23822886.210000001</v>
      </c>
      <c r="H105" s="50">
        <v>4968388.32</v>
      </c>
      <c r="I105" s="50">
        <v>4968388.32</v>
      </c>
    </row>
    <row r="106" spans="1:9" s="82" customFormat="1" ht="30.75" x14ac:dyDescent="0.25">
      <c r="A106" s="26" t="s">
        <v>296</v>
      </c>
      <c r="B106" s="43">
        <v>701</v>
      </c>
      <c r="C106" s="49" t="s">
        <v>305</v>
      </c>
      <c r="D106" s="49" t="s">
        <v>334</v>
      </c>
      <c r="E106" s="49">
        <v>9910000000</v>
      </c>
      <c r="F106" s="40"/>
      <c r="G106" s="50">
        <v>5343610.99</v>
      </c>
      <c r="H106" s="50">
        <v>4968388.32</v>
      </c>
      <c r="I106" s="50">
        <v>4968388.32</v>
      </c>
    </row>
    <row r="107" spans="1:9" s="82" customFormat="1" ht="75.75" x14ac:dyDescent="0.25">
      <c r="A107" s="25" t="s">
        <v>193</v>
      </c>
      <c r="B107" s="43">
        <v>701</v>
      </c>
      <c r="C107" s="49" t="s">
        <v>305</v>
      </c>
      <c r="D107" s="49" t="s">
        <v>334</v>
      </c>
      <c r="E107" s="49">
        <v>9910000000</v>
      </c>
      <c r="F107" s="40" t="s">
        <v>222</v>
      </c>
      <c r="G107" s="50">
        <v>5343610.99</v>
      </c>
      <c r="H107" s="50">
        <v>4968388.32</v>
      </c>
      <c r="I107" s="50">
        <v>4968388.32</v>
      </c>
    </row>
    <row r="108" spans="1:9" s="82" customFormat="1" x14ac:dyDescent="0.25">
      <c r="A108" s="26" t="s">
        <v>314</v>
      </c>
      <c r="B108" s="43">
        <v>701</v>
      </c>
      <c r="C108" s="49" t="s">
        <v>305</v>
      </c>
      <c r="D108" s="49" t="s">
        <v>334</v>
      </c>
      <c r="E108" s="54" t="s">
        <v>315</v>
      </c>
      <c r="F108" s="40"/>
      <c r="G108" s="50">
        <v>18479275.219999999</v>
      </c>
      <c r="H108" s="50">
        <v>0</v>
      </c>
      <c r="I108" s="50">
        <v>0</v>
      </c>
    </row>
    <row r="109" spans="1:9" s="82" customFormat="1" x14ac:dyDescent="0.25">
      <c r="A109" s="26" t="s">
        <v>195</v>
      </c>
      <c r="B109" s="43">
        <v>701</v>
      </c>
      <c r="C109" s="49" t="s">
        <v>305</v>
      </c>
      <c r="D109" s="49" t="s">
        <v>334</v>
      </c>
      <c r="E109" s="54" t="s">
        <v>315</v>
      </c>
      <c r="F109" s="40">
        <v>300</v>
      </c>
      <c r="G109" s="50">
        <v>460000</v>
      </c>
      <c r="H109" s="50">
        <v>0</v>
      </c>
      <c r="I109" s="50">
        <v>0</v>
      </c>
    </row>
    <row r="110" spans="1:9" s="82" customFormat="1" x14ac:dyDescent="0.25">
      <c r="A110" s="25" t="s">
        <v>196</v>
      </c>
      <c r="B110" s="43">
        <v>701</v>
      </c>
      <c r="C110" s="49" t="s">
        <v>305</v>
      </c>
      <c r="D110" s="49" t="s">
        <v>334</v>
      </c>
      <c r="E110" s="54" t="s">
        <v>315</v>
      </c>
      <c r="F110" s="40">
        <v>800</v>
      </c>
      <c r="G110" s="50">
        <v>18019275.219999999</v>
      </c>
      <c r="H110" s="50">
        <v>0</v>
      </c>
      <c r="I110" s="50">
        <v>0</v>
      </c>
    </row>
    <row r="111" spans="1:9" s="82" customFormat="1" x14ac:dyDescent="0.25">
      <c r="A111" s="28" t="s">
        <v>385</v>
      </c>
      <c r="B111" s="43">
        <v>701</v>
      </c>
      <c r="C111" s="47" t="s">
        <v>305</v>
      </c>
      <c r="D111" s="47" t="s">
        <v>352</v>
      </c>
      <c r="E111" s="43"/>
      <c r="F111" s="43"/>
      <c r="G111" s="48">
        <v>19720000</v>
      </c>
      <c r="H111" s="48">
        <v>17150000</v>
      </c>
      <c r="I111" s="48">
        <v>17150000</v>
      </c>
    </row>
    <row r="112" spans="1:9" s="82" customFormat="1" ht="31.5" x14ac:dyDescent="0.25">
      <c r="A112" s="28" t="s">
        <v>224</v>
      </c>
      <c r="B112" s="43">
        <v>701</v>
      </c>
      <c r="C112" s="47" t="s">
        <v>305</v>
      </c>
      <c r="D112" s="47" t="s">
        <v>352</v>
      </c>
      <c r="E112" s="83" t="s">
        <v>225</v>
      </c>
      <c r="F112" s="43"/>
      <c r="G112" s="48">
        <v>19720000</v>
      </c>
      <c r="H112" s="48">
        <v>17150000</v>
      </c>
      <c r="I112" s="48">
        <v>17150000</v>
      </c>
    </row>
    <row r="113" spans="1:11" s="82" customFormat="1" x14ac:dyDescent="0.25">
      <c r="A113" s="25" t="s">
        <v>226</v>
      </c>
      <c r="B113" s="43">
        <v>701</v>
      </c>
      <c r="C113" s="49" t="s">
        <v>305</v>
      </c>
      <c r="D113" s="49" t="s">
        <v>352</v>
      </c>
      <c r="E113" s="84" t="s">
        <v>227</v>
      </c>
      <c r="F113" s="40"/>
      <c r="G113" s="50">
        <v>2000000</v>
      </c>
      <c r="H113" s="50">
        <v>4000000</v>
      </c>
      <c r="I113" s="50">
        <v>4000000</v>
      </c>
    </row>
    <row r="114" spans="1:11" s="82" customFormat="1" ht="30.75" x14ac:dyDescent="0.25">
      <c r="A114" s="26" t="s">
        <v>194</v>
      </c>
      <c r="B114" s="43">
        <v>701</v>
      </c>
      <c r="C114" s="49" t="s">
        <v>305</v>
      </c>
      <c r="D114" s="49" t="s">
        <v>352</v>
      </c>
      <c r="E114" s="84" t="s">
        <v>227</v>
      </c>
      <c r="F114" s="40">
        <v>800</v>
      </c>
      <c r="G114" s="50">
        <v>2000000</v>
      </c>
      <c r="H114" s="50">
        <v>4000000</v>
      </c>
      <c r="I114" s="50">
        <v>4000000</v>
      </c>
    </row>
    <row r="115" spans="1:11" s="82" customFormat="1" x14ac:dyDescent="0.25">
      <c r="A115" s="25" t="s">
        <v>228</v>
      </c>
      <c r="B115" s="43">
        <v>701</v>
      </c>
      <c r="C115" s="49" t="s">
        <v>305</v>
      </c>
      <c r="D115" s="49" t="s">
        <v>352</v>
      </c>
      <c r="E115" s="84" t="s">
        <v>229</v>
      </c>
      <c r="F115" s="40"/>
      <c r="G115" s="50">
        <v>17720000</v>
      </c>
      <c r="H115" s="50">
        <v>13150000</v>
      </c>
      <c r="I115" s="50">
        <v>13150000</v>
      </c>
    </row>
    <row r="116" spans="1:11" s="82" customFormat="1" ht="30.75" x14ac:dyDescent="0.25">
      <c r="A116" s="26" t="s">
        <v>194</v>
      </c>
      <c r="B116" s="43">
        <v>701</v>
      </c>
      <c r="C116" s="49" t="s">
        <v>305</v>
      </c>
      <c r="D116" s="49" t="s">
        <v>352</v>
      </c>
      <c r="E116" s="84" t="s">
        <v>229</v>
      </c>
      <c r="F116" s="40">
        <v>200</v>
      </c>
      <c r="G116" s="50">
        <v>0</v>
      </c>
      <c r="H116" s="50">
        <v>150000</v>
      </c>
      <c r="I116" s="50">
        <v>150000</v>
      </c>
    </row>
    <row r="117" spans="1:11" s="82" customFormat="1" x14ac:dyDescent="0.25">
      <c r="A117" s="25" t="s">
        <v>196</v>
      </c>
      <c r="B117" s="43">
        <v>701</v>
      </c>
      <c r="C117" s="49" t="s">
        <v>305</v>
      </c>
      <c r="D117" s="49" t="s">
        <v>352</v>
      </c>
      <c r="E117" s="84" t="s">
        <v>229</v>
      </c>
      <c r="F117" s="40">
        <v>800</v>
      </c>
      <c r="G117" s="50">
        <v>17720000</v>
      </c>
      <c r="H117" s="50">
        <v>13000000</v>
      </c>
      <c r="I117" s="50">
        <v>13000000</v>
      </c>
    </row>
    <row r="118" spans="1:11" s="82" customFormat="1" x14ac:dyDescent="0.25">
      <c r="A118" s="28" t="s">
        <v>386</v>
      </c>
      <c r="B118" s="43">
        <v>701</v>
      </c>
      <c r="C118" s="47" t="s">
        <v>305</v>
      </c>
      <c r="D118" s="47" t="s">
        <v>350</v>
      </c>
      <c r="E118" s="43"/>
      <c r="F118" s="43"/>
      <c r="G118" s="48">
        <v>131192428.52999999</v>
      </c>
      <c r="H118" s="48">
        <v>15455434.5</v>
      </c>
      <c r="I118" s="48">
        <v>15455434.5</v>
      </c>
    </row>
    <row r="119" spans="1:11" s="82" customFormat="1" ht="31.5" x14ac:dyDescent="0.25">
      <c r="A119" s="28" t="s">
        <v>224</v>
      </c>
      <c r="B119" s="43">
        <v>701</v>
      </c>
      <c r="C119" s="47" t="s">
        <v>305</v>
      </c>
      <c r="D119" s="47" t="s">
        <v>350</v>
      </c>
      <c r="E119" s="83" t="s">
        <v>225</v>
      </c>
      <c r="F119" s="43"/>
      <c r="G119" s="48">
        <v>131192428.52999999</v>
      </c>
      <c r="H119" s="48">
        <v>15455434.5</v>
      </c>
      <c r="I119" s="48">
        <v>15455434.5</v>
      </c>
    </row>
    <row r="120" spans="1:11" s="80" customFormat="1" x14ac:dyDescent="0.25">
      <c r="A120" s="25" t="s">
        <v>230</v>
      </c>
      <c r="B120" s="43">
        <v>701</v>
      </c>
      <c r="C120" s="49" t="s">
        <v>305</v>
      </c>
      <c r="D120" s="49" t="s">
        <v>350</v>
      </c>
      <c r="E120" s="84" t="s">
        <v>231</v>
      </c>
      <c r="F120" s="40"/>
      <c r="G120" s="50">
        <v>131192428.52999999</v>
      </c>
      <c r="H120" s="50">
        <v>15455434.5</v>
      </c>
      <c r="I120" s="50">
        <v>15455434.5</v>
      </c>
    </row>
    <row r="121" spans="1:11" s="82" customFormat="1" ht="30.75" x14ac:dyDescent="0.25">
      <c r="A121" s="26" t="s">
        <v>194</v>
      </c>
      <c r="B121" s="43">
        <v>701</v>
      </c>
      <c r="C121" s="49" t="s">
        <v>305</v>
      </c>
      <c r="D121" s="49" t="s">
        <v>350</v>
      </c>
      <c r="E121" s="84" t="s">
        <v>231</v>
      </c>
      <c r="F121" s="40">
        <v>200</v>
      </c>
      <c r="G121" s="50">
        <v>131192428.52999999</v>
      </c>
      <c r="H121" s="50">
        <v>15455434.5</v>
      </c>
      <c r="I121" s="50">
        <v>15455434.5</v>
      </c>
    </row>
    <row r="122" spans="1:11" s="82" customFormat="1" x14ac:dyDescent="0.25">
      <c r="A122" s="30" t="s">
        <v>336</v>
      </c>
      <c r="B122" s="43">
        <v>701</v>
      </c>
      <c r="C122" s="47" t="s">
        <v>305</v>
      </c>
      <c r="D122" s="47" t="s">
        <v>328</v>
      </c>
      <c r="E122" s="55"/>
      <c r="F122" s="43"/>
      <c r="G122" s="48">
        <v>14000000</v>
      </c>
      <c r="H122" s="48">
        <v>0</v>
      </c>
      <c r="I122" s="48">
        <v>0</v>
      </c>
    </row>
    <row r="123" spans="1:11" s="82" customFormat="1" x14ac:dyDescent="0.25">
      <c r="A123" s="30" t="s">
        <v>294</v>
      </c>
      <c r="B123" s="43">
        <v>701</v>
      </c>
      <c r="C123" s="47" t="s">
        <v>305</v>
      </c>
      <c r="D123" s="47" t="s">
        <v>328</v>
      </c>
      <c r="E123" s="55" t="s">
        <v>295</v>
      </c>
      <c r="F123" s="43"/>
      <c r="G123" s="48">
        <v>14000000</v>
      </c>
      <c r="H123" s="48">
        <v>0</v>
      </c>
      <c r="I123" s="48">
        <v>0</v>
      </c>
    </row>
    <row r="124" spans="1:11" s="82" customFormat="1" x14ac:dyDescent="0.25">
      <c r="A124" s="30" t="s">
        <v>314</v>
      </c>
      <c r="B124" s="43">
        <v>701</v>
      </c>
      <c r="C124" s="49" t="s">
        <v>305</v>
      </c>
      <c r="D124" s="49" t="s">
        <v>328</v>
      </c>
      <c r="E124" s="54" t="s">
        <v>315</v>
      </c>
      <c r="F124" s="40"/>
      <c r="G124" s="50">
        <v>14000000</v>
      </c>
      <c r="H124" s="50">
        <v>0</v>
      </c>
      <c r="I124" s="50">
        <v>0</v>
      </c>
    </row>
    <row r="125" spans="1:11" s="82" customFormat="1" ht="30.75" x14ac:dyDescent="0.25">
      <c r="A125" s="26" t="s">
        <v>194</v>
      </c>
      <c r="B125" s="43">
        <v>701</v>
      </c>
      <c r="C125" s="49" t="s">
        <v>305</v>
      </c>
      <c r="D125" s="49" t="s">
        <v>328</v>
      </c>
      <c r="E125" s="54" t="s">
        <v>315</v>
      </c>
      <c r="F125" s="40">
        <v>200</v>
      </c>
      <c r="G125" s="50">
        <v>14000000</v>
      </c>
      <c r="H125" s="50">
        <v>0</v>
      </c>
      <c r="I125" s="50">
        <v>0</v>
      </c>
    </row>
    <row r="126" spans="1:11" s="82" customFormat="1" ht="31.5" x14ac:dyDescent="0.25">
      <c r="A126" s="28" t="s">
        <v>387</v>
      </c>
      <c r="B126" s="43">
        <v>701</v>
      </c>
      <c r="C126" s="47" t="s">
        <v>305</v>
      </c>
      <c r="D126" s="47" t="s">
        <v>388</v>
      </c>
      <c r="E126" s="43"/>
      <c r="F126" s="43"/>
      <c r="G126" s="48">
        <v>4633000</v>
      </c>
      <c r="H126" s="48">
        <v>4716760</v>
      </c>
      <c r="I126" s="48">
        <v>4716760</v>
      </c>
    </row>
    <row r="127" spans="1:11" s="80" customFormat="1" ht="31.5" x14ac:dyDescent="0.25">
      <c r="A127" s="28" t="s">
        <v>215</v>
      </c>
      <c r="B127" s="43">
        <v>701</v>
      </c>
      <c r="C127" s="47" t="s">
        <v>305</v>
      </c>
      <c r="D127" s="47" t="s">
        <v>388</v>
      </c>
      <c r="E127" s="83" t="s">
        <v>216</v>
      </c>
      <c r="F127" s="43"/>
      <c r="G127" s="48">
        <v>4633000</v>
      </c>
      <c r="H127" s="48">
        <v>4716760</v>
      </c>
      <c r="I127" s="48">
        <v>4716760</v>
      </c>
      <c r="J127" s="82"/>
      <c r="K127" s="82"/>
    </row>
    <row r="128" spans="1:11" s="80" customFormat="1" x14ac:dyDescent="0.25">
      <c r="A128" s="25" t="s">
        <v>389</v>
      </c>
      <c r="B128" s="43">
        <v>701</v>
      </c>
      <c r="C128" s="49" t="s">
        <v>305</v>
      </c>
      <c r="D128" s="49" t="s">
        <v>388</v>
      </c>
      <c r="E128" s="84" t="s">
        <v>217</v>
      </c>
      <c r="F128" s="40"/>
      <c r="G128" s="50">
        <v>4633000</v>
      </c>
      <c r="H128" s="50">
        <v>4716760</v>
      </c>
      <c r="I128" s="50">
        <v>4716760</v>
      </c>
      <c r="J128" s="82"/>
      <c r="K128" s="82"/>
    </row>
    <row r="129" spans="1:11" s="80" customFormat="1" ht="30.75" x14ac:dyDescent="0.25">
      <c r="A129" s="25" t="s">
        <v>194</v>
      </c>
      <c r="B129" s="43">
        <v>701</v>
      </c>
      <c r="C129" s="49" t="s">
        <v>305</v>
      </c>
      <c r="D129" s="49" t="s">
        <v>388</v>
      </c>
      <c r="E129" s="84" t="s">
        <v>217</v>
      </c>
      <c r="F129" s="40">
        <v>200</v>
      </c>
      <c r="G129" s="50">
        <v>0</v>
      </c>
      <c r="H129" s="50">
        <v>0</v>
      </c>
      <c r="I129" s="50">
        <v>0</v>
      </c>
      <c r="J129" s="82"/>
      <c r="K129" s="82"/>
    </row>
    <row r="130" spans="1:11" s="80" customFormat="1" x14ac:dyDescent="0.25">
      <c r="A130" s="26" t="s">
        <v>195</v>
      </c>
      <c r="B130" s="43">
        <v>701</v>
      </c>
      <c r="C130" s="49" t="s">
        <v>305</v>
      </c>
      <c r="D130" s="49" t="s">
        <v>388</v>
      </c>
      <c r="E130" s="84" t="s">
        <v>217</v>
      </c>
      <c r="F130" s="40">
        <v>300</v>
      </c>
      <c r="G130" s="50">
        <v>333000</v>
      </c>
      <c r="H130" s="50">
        <v>416760</v>
      </c>
      <c r="I130" s="50">
        <v>416760</v>
      </c>
      <c r="J130" s="82"/>
      <c r="K130" s="82"/>
    </row>
    <row r="131" spans="1:11" s="80" customFormat="1" x14ac:dyDescent="0.25">
      <c r="A131" s="25" t="s">
        <v>196</v>
      </c>
      <c r="B131" s="43">
        <v>701</v>
      </c>
      <c r="C131" s="49" t="s">
        <v>305</v>
      </c>
      <c r="D131" s="49" t="s">
        <v>388</v>
      </c>
      <c r="E131" s="84" t="s">
        <v>217</v>
      </c>
      <c r="F131" s="40">
        <v>800</v>
      </c>
      <c r="G131" s="50">
        <v>4300000</v>
      </c>
      <c r="H131" s="50">
        <v>4300000</v>
      </c>
      <c r="I131" s="50">
        <v>4300000</v>
      </c>
      <c r="J131" s="82"/>
      <c r="K131" s="82"/>
    </row>
    <row r="132" spans="1:11" s="80" customFormat="1" hidden="1" x14ac:dyDescent="0.25">
      <c r="A132" s="30" t="s">
        <v>337</v>
      </c>
      <c r="B132" s="43">
        <v>701</v>
      </c>
      <c r="C132" s="47" t="s">
        <v>334</v>
      </c>
      <c r="D132" s="47"/>
      <c r="E132" s="83"/>
      <c r="F132" s="43"/>
      <c r="G132" s="48">
        <v>9810436.8000000007</v>
      </c>
      <c r="H132" s="48">
        <v>0</v>
      </c>
      <c r="I132" s="48">
        <v>0</v>
      </c>
      <c r="J132" s="82"/>
      <c r="K132" s="82"/>
    </row>
    <row r="133" spans="1:11" s="80" customFormat="1" hidden="1" x14ac:dyDescent="0.25">
      <c r="A133" s="30" t="s">
        <v>338</v>
      </c>
      <c r="B133" s="43">
        <v>701</v>
      </c>
      <c r="C133" s="47" t="s">
        <v>334</v>
      </c>
      <c r="D133" s="47" t="s">
        <v>291</v>
      </c>
      <c r="E133" s="55"/>
      <c r="F133" s="43"/>
      <c r="G133" s="48">
        <v>0</v>
      </c>
      <c r="H133" s="48">
        <v>0</v>
      </c>
      <c r="I133" s="48">
        <v>0</v>
      </c>
      <c r="J133" s="82"/>
      <c r="K133" s="82"/>
    </row>
    <row r="134" spans="1:11" s="80" customFormat="1" hidden="1" x14ac:dyDescent="0.25">
      <c r="A134" s="30" t="s">
        <v>294</v>
      </c>
      <c r="B134" s="43">
        <v>701</v>
      </c>
      <c r="C134" s="47" t="s">
        <v>334</v>
      </c>
      <c r="D134" s="47" t="s">
        <v>291</v>
      </c>
      <c r="E134" s="55" t="s">
        <v>295</v>
      </c>
      <c r="F134" s="43"/>
      <c r="G134" s="48">
        <v>0</v>
      </c>
      <c r="H134" s="48">
        <v>0</v>
      </c>
      <c r="I134" s="48">
        <v>0</v>
      </c>
      <c r="J134" s="82"/>
      <c r="K134" s="82"/>
    </row>
    <row r="135" spans="1:11" s="80" customFormat="1" hidden="1" x14ac:dyDescent="0.25">
      <c r="A135" s="26" t="s">
        <v>314</v>
      </c>
      <c r="B135" s="43">
        <v>701</v>
      </c>
      <c r="C135" s="49" t="s">
        <v>334</v>
      </c>
      <c r="D135" s="49" t="s">
        <v>291</v>
      </c>
      <c r="E135" s="54" t="s">
        <v>315</v>
      </c>
      <c r="F135" s="40"/>
      <c r="G135" s="50">
        <v>0</v>
      </c>
      <c r="H135" s="50">
        <v>0</v>
      </c>
      <c r="I135" s="50">
        <v>0</v>
      </c>
      <c r="J135" s="82"/>
      <c r="K135" s="82"/>
    </row>
    <row r="136" spans="1:11" s="80" customFormat="1" ht="30.75" hidden="1" x14ac:dyDescent="0.25">
      <c r="A136" s="25" t="s">
        <v>194</v>
      </c>
      <c r="B136" s="43">
        <v>701</v>
      </c>
      <c r="C136" s="49" t="s">
        <v>334</v>
      </c>
      <c r="D136" s="49" t="s">
        <v>291</v>
      </c>
      <c r="E136" s="54" t="s">
        <v>315</v>
      </c>
      <c r="F136" s="40">
        <v>200</v>
      </c>
      <c r="G136" s="50">
        <v>0</v>
      </c>
      <c r="H136" s="50">
        <v>0</v>
      </c>
      <c r="I136" s="50">
        <v>0</v>
      </c>
      <c r="J136" s="82"/>
      <c r="K136" s="82"/>
    </row>
    <row r="137" spans="1:11" s="80" customFormat="1" ht="30.75" hidden="1" x14ac:dyDescent="0.25">
      <c r="A137" s="25" t="s">
        <v>201</v>
      </c>
      <c r="B137" s="43">
        <v>701</v>
      </c>
      <c r="C137" s="49" t="s">
        <v>334</v>
      </c>
      <c r="D137" s="49" t="s">
        <v>291</v>
      </c>
      <c r="E137" s="54" t="s">
        <v>315</v>
      </c>
      <c r="F137" s="40">
        <v>600</v>
      </c>
      <c r="G137" s="50">
        <v>0</v>
      </c>
      <c r="H137" s="50">
        <v>0</v>
      </c>
      <c r="I137" s="50">
        <v>0</v>
      </c>
      <c r="J137" s="82"/>
      <c r="K137" s="82"/>
    </row>
    <row r="138" spans="1:11" s="80" customFormat="1" x14ac:dyDescent="0.25">
      <c r="A138" s="30" t="s">
        <v>341</v>
      </c>
      <c r="B138" s="43">
        <v>701</v>
      </c>
      <c r="C138" s="47" t="s">
        <v>334</v>
      </c>
      <c r="D138" s="47" t="s">
        <v>301</v>
      </c>
      <c r="E138" s="83"/>
      <c r="F138" s="43"/>
      <c r="G138" s="48">
        <v>9810436.8000000007</v>
      </c>
      <c r="H138" s="48">
        <v>0</v>
      </c>
      <c r="I138" s="48">
        <v>0</v>
      </c>
      <c r="J138" s="82"/>
      <c r="K138" s="82"/>
    </row>
    <row r="139" spans="1:11" s="80" customFormat="1" x14ac:dyDescent="0.25">
      <c r="A139" s="30" t="s">
        <v>294</v>
      </c>
      <c r="B139" s="43">
        <v>701</v>
      </c>
      <c r="C139" s="47" t="s">
        <v>334</v>
      </c>
      <c r="D139" s="47" t="s">
        <v>301</v>
      </c>
      <c r="E139" s="83" t="s">
        <v>295</v>
      </c>
      <c r="F139" s="43"/>
      <c r="G139" s="48">
        <v>9810436.8000000007</v>
      </c>
      <c r="H139" s="48">
        <v>0</v>
      </c>
      <c r="I139" s="48">
        <v>0</v>
      </c>
      <c r="J139" s="82"/>
      <c r="K139" s="82"/>
    </row>
    <row r="140" spans="1:11" s="80" customFormat="1" x14ac:dyDescent="0.25">
      <c r="A140" s="26" t="s">
        <v>314</v>
      </c>
      <c r="B140" s="43">
        <v>701</v>
      </c>
      <c r="C140" s="49" t="s">
        <v>334</v>
      </c>
      <c r="D140" s="49" t="s">
        <v>301</v>
      </c>
      <c r="E140" s="84" t="s">
        <v>315</v>
      </c>
      <c r="F140" s="40"/>
      <c r="G140" s="50">
        <v>9810436.8000000007</v>
      </c>
      <c r="H140" s="50">
        <v>0</v>
      </c>
      <c r="I140" s="50">
        <v>0</v>
      </c>
      <c r="J140" s="82"/>
      <c r="K140" s="82"/>
    </row>
    <row r="141" spans="1:11" s="80" customFormat="1" ht="30.75" x14ac:dyDescent="0.25">
      <c r="A141" s="26" t="s">
        <v>214</v>
      </c>
      <c r="B141" s="43">
        <v>701</v>
      </c>
      <c r="C141" s="49" t="s">
        <v>334</v>
      </c>
      <c r="D141" s="49" t="s">
        <v>301</v>
      </c>
      <c r="E141" s="84" t="s">
        <v>315</v>
      </c>
      <c r="F141" s="40">
        <v>400</v>
      </c>
      <c r="G141" s="50">
        <v>9810436.8000000007</v>
      </c>
      <c r="H141" s="50">
        <v>0</v>
      </c>
      <c r="I141" s="50">
        <v>0</v>
      </c>
      <c r="J141" s="82"/>
      <c r="K141" s="82"/>
    </row>
    <row r="142" spans="1:11" s="82" customFormat="1" x14ac:dyDescent="0.25">
      <c r="A142" s="28" t="s">
        <v>390</v>
      </c>
      <c r="B142" s="43">
        <v>701</v>
      </c>
      <c r="C142" s="47" t="s">
        <v>309</v>
      </c>
      <c r="D142" s="47"/>
      <c r="E142" s="43"/>
      <c r="F142" s="43"/>
      <c r="G142" s="48">
        <v>2089351.33</v>
      </c>
      <c r="H142" s="48">
        <v>1440423.53</v>
      </c>
      <c r="I142" s="48">
        <v>1440423.53</v>
      </c>
    </row>
    <row r="143" spans="1:11" s="82" customFormat="1" ht="31.5" x14ac:dyDescent="0.25">
      <c r="A143" s="30" t="s">
        <v>391</v>
      </c>
      <c r="B143" s="43">
        <v>701</v>
      </c>
      <c r="C143" s="47" t="s">
        <v>309</v>
      </c>
      <c r="D143" s="47" t="s">
        <v>301</v>
      </c>
      <c r="E143" s="83"/>
      <c r="F143" s="43"/>
      <c r="G143" s="48">
        <v>2089351.33</v>
      </c>
      <c r="H143" s="48">
        <v>1440423.53</v>
      </c>
      <c r="I143" s="48">
        <v>1440423.53</v>
      </c>
    </row>
    <row r="144" spans="1:11" s="82" customFormat="1" ht="31.5" x14ac:dyDescent="0.25">
      <c r="A144" s="28" t="s">
        <v>392</v>
      </c>
      <c r="B144" s="43">
        <v>701</v>
      </c>
      <c r="C144" s="47" t="s">
        <v>309</v>
      </c>
      <c r="D144" s="47" t="s">
        <v>301</v>
      </c>
      <c r="E144" s="85">
        <v>2900000000</v>
      </c>
      <c r="F144" s="86"/>
      <c r="G144" s="48">
        <v>2089351.33</v>
      </c>
      <c r="H144" s="48">
        <v>1440423.53</v>
      </c>
      <c r="I144" s="48">
        <v>1440423.53</v>
      </c>
    </row>
    <row r="145" spans="1:9" s="82" customFormat="1" ht="30.75" x14ac:dyDescent="0.25">
      <c r="A145" s="25" t="s">
        <v>276</v>
      </c>
      <c r="B145" s="43">
        <v>701</v>
      </c>
      <c r="C145" s="49" t="s">
        <v>309</v>
      </c>
      <c r="D145" s="49" t="s">
        <v>301</v>
      </c>
      <c r="E145" s="67">
        <v>2930000000</v>
      </c>
      <c r="F145" s="87"/>
      <c r="G145" s="50">
        <v>1820351.33</v>
      </c>
      <c r="H145" s="50">
        <v>1162190.53</v>
      </c>
      <c r="I145" s="50">
        <v>1162190.53</v>
      </c>
    </row>
    <row r="146" spans="1:9" s="82" customFormat="1" ht="30.75" x14ac:dyDescent="0.25">
      <c r="A146" s="25" t="s">
        <v>194</v>
      </c>
      <c r="B146" s="43">
        <v>701</v>
      </c>
      <c r="C146" s="49" t="s">
        <v>309</v>
      </c>
      <c r="D146" s="49" t="s">
        <v>301</v>
      </c>
      <c r="E146" s="67">
        <v>2930000000</v>
      </c>
      <c r="F146" s="87">
        <v>200</v>
      </c>
      <c r="G146" s="50">
        <v>1820351.33</v>
      </c>
      <c r="H146" s="50">
        <v>1162190.53</v>
      </c>
      <c r="I146" s="50">
        <v>1162190.53</v>
      </c>
    </row>
    <row r="147" spans="1:9" s="80" customFormat="1" ht="30.75" hidden="1" x14ac:dyDescent="0.25">
      <c r="A147" s="88" t="s">
        <v>393</v>
      </c>
      <c r="B147" s="43">
        <v>701</v>
      </c>
      <c r="C147" s="49" t="s">
        <v>309</v>
      </c>
      <c r="D147" s="49" t="s">
        <v>301</v>
      </c>
      <c r="E147" s="67">
        <v>2940000000</v>
      </c>
      <c r="F147" s="87"/>
      <c r="G147" s="50">
        <v>0</v>
      </c>
      <c r="H147" s="50">
        <v>0</v>
      </c>
      <c r="I147" s="50">
        <v>0</v>
      </c>
    </row>
    <row r="148" spans="1:9" s="82" customFormat="1" ht="30.75" hidden="1" x14ac:dyDescent="0.25">
      <c r="A148" s="26" t="s">
        <v>194</v>
      </c>
      <c r="B148" s="43">
        <v>701</v>
      </c>
      <c r="C148" s="49" t="s">
        <v>309</v>
      </c>
      <c r="D148" s="49" t="s">
        <v>301</v>
      </c>
      <c r="E148" s="67">
        <v>2940000000</v>
      </c>
      <c r="F148" s="67">
        <v>200</v>
      </c>
      <c r="G148" s="50">
        <v>0</v>
      </c>
      <c r="H148" s="50">
        <v>0</v>
      </c>
      <c r="I148" s="50">
        <v>0</v>
      </c>
    </row>
    <row r="149" spans="1:9" s="80" customFormat="1" ht="30.75" x14ac:dyDescent="0.25">
      <c r="A149" s="25" t="s">
        <v>277</v>
      </c>
      <c r="B149" s="43">
        <v>701</v>
      </c>
      <c r="C149" s="49" t="s">
        <v>309</v>
      </c>
      <c r="D149" s="49" t="s">
        <v>301</v>
      </c>
      <c r="E149" s="67">
        <v>2970000000</v>
      </c>
      <c r="F149" s="67"/>
      <c r="G149" s="50">
        <v>269000</v>
      </c>
      <c r="H149" s="50">
        <v>278233</v>
      </c>
      <c r="I149" s="50">
        <v>278233</v>
      </c>
    </row>
    <row r="150" spans="1:9" s="82" customFormat="1" ht="30.75" x14ac:dyDescent="0.25">
      <c r="A150" s="26" t="s">
        <v>194</v>
      </c>
      <c r="B150" s="43">
        <v>701</v>
      </c>
      <c r="C150" s="49" t="s">
        <v>309</v>
      </c>
      <c r="D150" s="49" t="s">
        <v>301</v>
      </c>
      <c r="E150" s="67">
        <v>2970000000</v>
      </c>
      <c r="F150" s="67">
        <v>200</v>
      </c>
      <c r="G150" s="50">
        <v>269000</v>
      </c>
      <c r="H150" s="50">
        <v>278233</v>
      </c>
      <c r="I150" s="50">
        <v>278233</v>
      </c>
    </row>
    <row r="151" spans="1:9" s="82" customFormat="1" x14ac:dyDescent="0.25">
      <c r="A151" s="28" t="s">
        <v>344</v>
      </c>
      <c r="B151" s="43">
        <v>701</v>
      </c>
      <c r="C151" s="47" t="s">
        <v>345</v>
      </c>
      <c r="D151" s="47"/>
      <c r="E151" s="43"/>
      <c r="F151" s="43"/>
      <c r="G151" s="48">
        <v>1397797706.8</v>
      </c>
      <c r="H151" s="48">
        <v>1099171680.7299998</v>
      </c>
      <c r="I151" s="48">
        <v>1101696595.0599999</v>
      </c>
    </row>
    <row r="152" spans="1:9" s="82" customFormat="1" x14ac:dyDescent="0.25">
      <c r="A152" s="28" t="s">
        <v>346</v>
      </c>
      <c r="B152" s="43">
        <v>701</v>
      </c>
      <c r="C152" s="47" t="s">
        <v>345</v>
      </c>
      <c r="D152" s="47" t="s">
        <v>291</v>
      </c>
      <c r="E152" s="43"/>
      <c r="F152" s="43"/>
      <c r="G152" s="48">
        <v>334634688.94</v>
      </c>
      <c r="H152" s="48">
        <v>333576586.27999997</v>
      </c>
      <c r="I152" s="48">
        <v>333576586.27999997</v>
      </c>
    </row>
    <row r="153" spans="1:9" s="89" customFormat="1" x14ac:dyDescent="0.25">
      <c r="A153" s="28" t="s">
        <v>189</v>
      </c>
      <c r="B153" s="43">
        <v>701</v>
      </c>
      <c r="C153" s="47" t="s">
        <v>345</v>
      </c>
      <c r="D153" s="47" t="s">
        <v>291</v>
      </c>
      <c r="E153" s="83" t="s">
        <v>190</v>
      </c>
      <c r="F153" s="43"/>
      <c r="G153" s="48">
        <v>322679524.94</v>
      </c>
      <c r="H153" s="48">
        <v>333576586.27999997</v>
      </c>
      <c r="I153" s="48">
        <v>333576586.27999997</v>
      </c>
    </row>
    <row r="154" spans="1:9" s="2" customFormat="1" x14ac:dyDescent="0.25">
      <c r="A154" s="90" t="s">
        <v>197</v>
      </c>
      <c r="B154" s="43">
        <v>701</v>
      </c>
      <c r="C154" s="49" t="s">
        <v>345</v>
      </c>
      <c r="D154" s="49" t="s">
        <v>291</v>
      </c>
      <c r="E154" s="84" t="s">
        <v>198</v>
      </c>
      <c r="F154" s="40"/>
      <c r="G154" s="50">
        <v>322679524.94</v>
      </c>
      <c r="H154" s="50">
        <v>333576586.27999997</v>
      </c>
      <c r="I154" s="50">
        <v>333576586.27999997</v>
      </c>
    </row>
    <row r="155" spans="1:9" s="89" customFormat="1" ht="75.75" x14ac:dyDescent="0.25">
      <c r="A155" s="25" t="s">
        <v>193</v>
      </c>
      <c r="B155" s="43">
        <v>701</v>
      </c>
      <c r="C155" s="49" t="s">
        <v>345</v>
      </c>
      <c r="D155" s="49" t="s">
        <v>291</v>
      </c>
      <c r="E155" s="84" t="s">
        <v>198</v>
      </c>
      <c r="F155" s="40">
        <v>100</v>
      </c>
      <c r="G155" s="50">
        <v>160286018.76999995</v>
      </c>
      <c r="H155" s="50">
        <v>160572845.09</v>
      </c>
      <c r="I155" s="50">
        <v>160572845.09</v>
      </c>
    </row>
    <row r="156" spans="1:9" s="89" customFormat="1" ht="30.75" x14ac:dyDescent="0.25">
      <c r="A156" s="26" t="s">
        <v>194</v>
      </c>
      <c r="B156" s="43">
        <v>701</v>
      </c>
      <c r="C156" s="49" t="s">
        <v>345</v>
      </c>
      <c r="D156" s="49" t="s">
        <v>291</v>
      </c>
      <c r="E156" s="84" t="s">
        <v>198</v>
      </c>
      <c r="F156" s="40">
        <v>200</v>
      </c>
      <c r="G156" s="50">
        <v>157599050.02000004</v>
      </c>
      <c r="H156" s="50">
        <v>164469540.19</v>
      </c>
      <c r="I156" s="50">
        <v>164469540.19</v>
      </c>
    </row>
    <row r="157" spans="1:9" s="89" customFormat="1" x14ac:dyDescent="0.25">
      <c r="A157" s="26" t="s">
        <v>195</v>
      </c>
      <c r="B157" s="43">
        <v>701</v>
      </c>
      <c r="C157" s="49" t="s">
        <v>345</v>
      </c>
      <c r="D157" s="49" t="s">
        <v>291</v>
      </c>
      <c r="E157" s="84" t="s">
        <v>198</v>
      </c>
      <c r="F157" s="40">
        <v>300</v>
      </c>
      <c r="G157" s="50">
        <v>412811.11000000004</v>
      </c>
      <c r="H157" s="50">
        <v>0</v>
      </c>
      <c r="I157" s="50">
        <v>0</v>
      </c>
    </row>
    <row r="158" spans="1:9" s="82" customFormat="1" x14ac:dyDescent="0.25">
      <c r="A158" s="25" t="s">
        <v>196</v>
      </c>
      <c r="B158" s="43">
        <v>701</v>
      </c>
      <c r="C158" s="49" t="s">
        <v>345</v>
      </c>
      <c r="D158" s="49" t="s">
        <v>291</v>
      </c>
      <c r="E158" s="84" t="s">
        <v>198</v>
      </c>
      <c r="F158" s="40">
        <v>800</v>
      </c>
      <c r="G158" s="50">
        <v>4381645.04</v>
      </c>
      <c r="H158" s="50">
        <v>8534201</v>
      </c>
      <c r="I158" s="50">
        <v>8534201</v>
      </c>
    </row>
    <row r="159" spans="1:9" s="82" customFormat="1" x14ac:dyDescent="0.25">
      <c r="A159" s="30" t="s">
        <v>294</v>
      </c>
      <c r="B159" s="43">
        <v>701</v>
      </c>
      <c r="C159" s="47" t="s">
        <v>345</v>
      </c>
      <c r="D159" s="47" t="s">
        <v>291</v>
      </c>
      <c r="E159" s="55" t="s">
        <v>295</v>
      </c>
      <c r="F159" s="43"/>
      <c r="G159" s="48">
        <v>11955164</v>
      </c>
      <c r="H159" s="48">
        <v>0</v>
      </c>
      <c r="I159" s="48">
        <v>0</v>
      </c>
    </row>
    <row r="160" spans="1:9" s="82" customFormat="1" x14ac:dyDescent="0.25">
      <c r="A160" s="26" t="s">
        <v>314</v>
      </c>
      <c r="B160" s="43">
        <v>701</v>
      </c>
      <c r="C160" s="49" t="s">
        <v>345</v>
      </c>
      <c r="D160" s="49" t="s">
        <v>291</v>
      </c>
      <c r="E160" s="54" t="s">
        <v>315</v>
      </c>
      <c r="F160" s="40"/>
      <c r="G160" s="50">
        <v>11955164</v>
      </c>
      <c r="H160" s="50">
        <v>0</v>
      </c>
      <c r="I160" s="50">
        <v>0</v>
      </c>
    </row>
    <row r="161" spans="1:9" s="82" customFormat="1" ht="30.75" x14ac:dyDescent="0.25">
      <c r="A161" s="26" t="s">
        <v>194</v>
      </c>
      <c r="B161" s="43">
        <v>701</v>
      </c>
      <c r="C161" s="49" t="s">
        <v>345</v>
      </c>
      <c r="D161" s="49" t="s">
        <v>291</v>
      </c>
      <c r="E161" s="54" t="s">
        <v>315</v>
      </c>
      <c r="F161" s="40">
        <v>200</v>
      </c>
      <c r="G161" s="50">
        <v>3772110</v>
      </c>
      <c r="H161" s="50">
        <v>0</v>
      </c>
      <c r="I161" s="50">
        <v>0</v>
      </c>
    </row>
    <row r="162" spans="1:9" s="82" customFormat="1" x14ac:dyDescent="0.25">
      <c r="A162" s="25" t="s">
        <v>196</v>
      </c>
      <c r="B162" s="43">
        <v>701</v>
      </c>
      <c r="C162" s="49" t="s">
        <v>345</v>
      </c>
      <c r="D162" s="49" t="s">
        <v>291</v>
      </c>
      <c r="E162" s="54" t="s">
        <v>315</v>
      </c>
      <c r="F162" s="40">
        <v>800</v>
      </c>
      <c r="G162" s="50">
        <v>8183054</v>
      </c>
      <c r="H162" s="50">
        <v>0</v>
      </c>
      <c r="I162" s="50">
        <v>0</v>
      </c>
    </row>
    <row r="163" spans="1:9" s="82" customFormat="1" x14ac:dyDescent="0.25">
      <c r="A163" s="28" t="s">
        <v>347</v>
      </c>
      <c r="B163" s="43">
        <v>701</v>
      </c>
      <c r="C163" s="47" t="s">
        <v>345</v>
      </c>
      <c r="D163" s="47" t="s">
        <v>293</v>
      </c>
      <c r="E163" s="43"/>
      <c r="F163" s="43"/>
      <c r="G163" s="48">
        <v>529790846.30999994</v>
      </c>
      <c r="H163" s="48">
        <v>420442889.57999998</v>
      </c>
      <c r="I163" s="48">
        <v>422709839.26999998</v>
      </c>
    </row>
    <row r="164" spans="1:9" s="82" customFormat="1" x14ac:dyDescent="0.25">
      <c r="A164" s="28" t="s">
        <v>189</v>
      </c>
      <c r="B164" s="43">
        <v>701</v>
      </c>
      <c r="C164" s="47" t="s">
        <v>345</v>
      </c>
      <c r="D164" s="47" t="s">
        <v>293</v>
      </c>
      <c r="E164" s="83" t="s">
        <v>190</v>
      </c>
      <c r="F164" s="43"/>
      <c r="G164" s="48">
        <v>403816657.01999998</v>
      </c>
      <c r="H164" s="48">
        <v>420442889.57999998</v>
      </c>
      <c r="I164" s="48">
        <v>422709839.26999998</v>
      </c>
    </row>
    <row r="165" spans="1:9" s="82" customFormat="1" x14ac:dyDescent="0.25">
      <c r="A165" s="25" t="s">
        <v>199</v>
      </c>
      <c r="B165" s="43">
        <v>701</v>
      </c>
      <c r="C165" s="49" t="s">
        <v>345</v>
      </c>
      <c r="D165" s="49" t="s">
        <v>293</v>
      </c>
      <c r="E165" s="84" t="s">
        <v>200</v>
      </c>
      <c r="F165" s="40"/>
      <c r="G165" s="50">
        <v>403816657.01999998</v>
      </c>
      <c r="H165" s="50">
        <v>420442889.57999998</v>
      </c>
      <c r="I165" s="50">
        <v>422709839.26999998</v>
      </c>
    </row>
    <row r="166" spans="1:9" s="82" customFormat="1" ht="75.75" x14ac:dyDescent="0.25">
      <c r="A166" s="26" t="s">
        <v>193</v>
      </c>
      <c r="B166" s="43">
        <v>701</v>
      </c>
      <c r="C166" s="49" t="s">
        <v>345</v>
      </c>
      <c r="D166" s="49" t="s">
        <v>293</v>
      </c>
      <c r="E166" s="84" t="s">
        <v>200</v>
      </c>
      <c r="F166" s="40">
        <v>100</v>
      </c>
      <c r="G166" s="51">
        <v>87230248.620000005</v>
      </c>
      <c r="H166" s="51">
        <v>86586452</v>
      </c>
      <c r="I166" s="51">
        <v>86122077</v>
      </c>
    </row>
    <row r="167" spans="1:9" s="82" customFormat="1" ht="32.25" customHeight="1" x14ac:dyDescent="0.25">
      <c r="A167" s="26" t="s">
        <v>194</v>
      </c>
      <c r="B167" s="43">
        <v>701</v>
      </c>
      <c r="C167" s="49" t="s">
        <v>345</v>
      </c>
      <c r="D167" s="49" t="s">
        <v>293</v>
      </c>
      <c r="E167" s="84" t="s">
        <v>200</v>
      </c>
      <c r="F167" s="40">
        <v>200</v>
      </c>
      <c r="G167" s="51">
        <v>62270950.400000006</v>
      </c>
      <c r="H167" s="51">
        <v>63877575.509999998</v>
      </c>
      <c r="I167" s="51">
        <v>63877575.509999998</v>
      </c>
    </row>
    <row r="168" spans="1:9" s="82" customFormat="1" x14ac:dyDescent="0.25">
      <c r="A168" s="26" t="s">
        <v>195</v>
      </c>
      <c r="B168" s="43">
        <v>701</v>
      </c>
      <c r="C168" s="49" t="s">
        <v>345</v>
      </c>
      <c r="D168" s="49" t="s">
        <v>293</v>
      </c>
      <c r="E168" s="84" t="s">
        <v>200</v>
      </c>
      <c r="F168" s="40">
        <v>300</v>
      </c>
      <c r="G168" s="51">
        <v>65100</v>
      </c>
      <c r="H168" s="51">
        <v>0</v>
      </c>
      <c r="I168" s="51">
        <v>0</v>
      </c>
    </row>
    <row r="169" spans="1:9" s="82" customFormat="1" ht="30.75" x14ac:dyDescent="0.25">
      <c r="A169" s="25" t="s">
        <v>201</v>
      </c>
      <c r="B169" s="43">
        <v>701</v>
      </c>
      <c r="C169" s="49" t="s">
        <v>345</v>
      </c>
      <c r="D169" s="49" t="s">
        <v>293</v>
      </c>
      <c r="E169" s="84" t="s">
        <v>200</v>
      </c>
      <c r="F169" s="40">
        <v>600</v>
      </c>
      <c r="G169" s="51">
        <v>252266645.16999999</v>
      </c>
      <c r="H169" s="51">
        <v>268409046.06999999</v>
      </c>
      <c r="I169" s="51">
        <v>271140370.75999999</v>
      </c>
    </row>
    <row r="170" spans="1:9" s="82" customFormat="1" x14ac:dyDescent="0.25">
      <c r="A170" s="25" t="s">
        <v>196</v>
      </c>
      <c r="B170" s="43">
        <v>701</v>
      </c>
      <c r="C170" s="49" t="s">
        <v>345</v>
      </c>
      <c r="D170" s="49" t="s">
        <v>293</v>
      </c>
      <c r="E170" s="84" t="s">
        <v>200</v>
      </c>
      <c r="F170" s="40">
        <v>800</v>
      </c>
      <c r="G170" s="51">
        <v>1983712.83</v>
      </c>
      <c r="H170" s="51">
        <v>1569816</v>
      </c>
      <c r="I170" s="51">
        <v>1569816</v>
      </c>
    </row>
    <row r="171" spans="1:9" s="82" customFormat="1" ht="31.5" x14ac:dyDescent="0.25">
      <c r="A171" s="28" t="s">
        <v>256</v>
      </c>
      <c r="B171" s="43">
        <v>701</v>
      </c>
      <c r="C171" s="49" t="s">
        <v>345</v>
      </c>
      <c r="D171" s="49" t="s">
        <v>293</v>
      </c>
      <c r="E171" s="83" t="s">
        <v>257</v>
      </c>
      <c r="F171" s="43"/>
      <c r="G171" s="53">
        <v>67902277.060000017</v>
      </c>
      <c r="H171" s="53">
        <v>0</v>
      </c>
      <c r="I171" s="53">
        <v>0</v>
      </c>
    </row>
    <row r="172" spans="1:9" s="82" customFormat="1" x14ac:dyDescent="0.25">
      <c r="A172" s="25" t="s">
        <v>259</v>
      </c>
      <c r="B172" s="43">
        <v>701</v>
      </c>
      <c r="C172" s="49" t="s">
        <v>345</v>
      </c>
      <c r="D172" s="49" t="s">
        <v>293</v>
      </c>
      <c r="E172" s="84" t="s">
        <v>260</v>
      </c>
      <c r="F172" s="40"/>
      <c r="G172" s="51">
        <v>67902277.060000017</v>
      </c>
      <c r="H172" s="51">
        <v>0</v>
      </c>
      <c r="I172" s="51">
        <v>0</v>
      </c>
    </row>
    <row r="173" spans="1:9" s="82" customFormat="1" ht="30.75" x14ac:dyDescent="0.25">
      <c r="A173" s="25" t="s">
        <v>261</v>
      </c>
      <c r="B173" s="43">
        <v>701</v>
      </c>
      <c r="C173" s="49" t="s">
        <v>345</v>
      </c>
      <c r="D173" s="49" t="s">
        <v>293</v>
      </c>
      <c r="E173" s="84" t="s">
        <v>260</v>
      </c>
      <c r="F173" s="40">
        <v>400</v>
      </c>
      <c r="G173" s="51">
        <v>67902277.060000017</v>
      </c>
      <c r="H173" s="51">
        <v>0</v>
      </c>
      <c r="I173" s="51">
        <v>0</v>
      </c>
    </row>
    <row r="174" spans="1:9" s="82" customFormat="1" x14ac:dyDescent="0.25">
      <c r="A174" s="30" t="s">
        <v>294</v>
      </c>
      <c r="B174" s="43">
        <v>701</v>
      </c>
      <c r="C174" s="47" t="s">
        <v>345</v>
      </c>
      <c r="D174" s="47" t="s">
        <v>293</v>
      </c>
      <c r="E174" s="55" t="s">
        <v>295</v>
      </c>
      <c r="F174" s="43"/>
      <c r="G174" s="53">
        <v>58071912.229999982</v>
      </c>
      <c r="H174" s="53">
        <v>0</v>
      </c>
      <c r="I174" s="53">
        <v>0</v>
      </c>
    </row>
    <row r="175" spans="1:9" s="82" customFormat="1" x14ac:dyDescent="0.25">
      <c r="A175" s="26" t="s">
        <v>314</v>
      </c>
      <c r="B175" s="43">
        <v>701</v>
      </c>
      <c r="C175" s="49" t="s">
        <v>345</v>
      </c>
      <c r="D175" s="49" t="s">
        <v>293</v>
      </c>
      <c r="E175" s="54" t="s">
        <v>315</v>
      </c>
      <c r="F175" s="40"/>
      <c r="G175" s="51">
        <v>58071912.229999982</v>
      </c>
      <c r="H175" s="51">
        <v>0</v>
      </c>
      <c r="I175" s="51">
        <v>0</v>
      </c>
    </row>
    <row r="176" spans="1:9" s="82" customFormat="1" ht="30.75" x14ac:dyDescent="0.25">
      <c r="A176" s="26" t="s">
        <v>194</v>
      </c>
      <c r="B176" s="43">
        <v>701</v>
      </c>
      <c r="C176" s="49" t="s">
        <v>345</v>
      </c>
      <c r="D176" s="49" t="s">
        <v>293</v>
      </c>
      <c r="E176" s="54" t="s">
        <v>315</v>
      </c>
      <c r="F176" s="40">
        <v>200</v>
      </c>
      <c r="G176" s="51">
        <v>7776215.0800000001</v>
      </c>
      <c r="H176" s="51">
        <v>0</v>
      </c>
      <c r="I176" s="51">
        <v>0</v>
      </c>
    </row>
    <row r="177" spans="1:9" s="82" customFormat="1" ht="30.75" hidden="1" x14ac:dyDescent="0.25">
      <c r="A177" s="25" t="s">
        <v>261</v>
      </c>
      <c r="B177" s="43">
        <v>701</v>
      </c>
      <c r="C177" s="49" t="s">
        <v>345</v>
      </c>
      <c r="D177" s="49" t="s">
        <v>293</v>
      </c>
      <c r="E177" s="54" t="s">
        <v>315</v>
      </c>
      <c r="F177" s="40">
        <v>400</v>
      </c>
      <c r="G177" s="51">
        <v>0</v>
      </c>
      <c r="H177" s="51">
        <v>0</v>
      </c>
      <c r="I177" s="51">
        <v>0</v>
      </c>
    </row>
    <row r="178" spans="1:9" s="82" customFormat="1" ht="30.75" x14ac:dyDescent="0.25">
      <c r="A178" s="25" t="s">
        <v>201</v>
      </c>
      <c r="B178" s="43">
        <v>701</v>
      </c>
      <c r="C178" s="49" t="s">
        <v>345</v>
      </c>
      <c r="D178" s="49" t="s">
        <v>293</v>
      </c>
      <c r="E178" s="54" t="s">
        <v>315</v>
      </c>
      <c r="F178" s="40">
        <v>600</v>
      </c>
      <c r="G178" s="51">
        <v>50295697.149999984</v>
      </c>
      <c r="H178" s="51">
        <v>0</v>
      </c>
      <c r="I178" s="51">
        <v>0</v>
      </c>
    </row>
    <row r="179" spans="1:9" s="82" customFormat="1" x14ac:dyDescent="0.25">
      <c r="A179" s="28" t="s">
        <v>348</v>
      </c>
      <c r="B179" s="43">
        <v>701</v>
      </c>
      <c r="C179" s="47" t="s">
        <v>345</v>
      </c>
      <c r="D179" s="47" t="s">
        <v>301</v>
      </c>
      <c r="E179" s="83"/>
      <c r="F179" s="43"/>
      <c r="G179" s="53">
        <v>352172227.11000001</v>
      </c>
      <c r="H179" s="53">
        <v>179150030.47</v>
      </c>
      <c r="I179" s="53">
        <v>179407995.11000001</v>
      </c>
    </row>
    <row r="180" spans="1:9" s="82" customFormat="1" x14ac:dyDescent="0.25">
      <c r="A180" s="28" t="s">
        <v>189</v>
      </c>
      <c r="B180" s="43">
        <v>701</v>
      </c>
      <c r="C180" s="47" t="s">
        <v>345</v>
      </c>
      <c r="D180" s="47" t="s">
        <v>301</v>
      </c>
      <c r="E180" s="83" t="s">
        <v>190</v>
      </c>
      <c r="F180" s="43"/>
      <c r="G180" s="53">
        <v>87880646.929999992</v>
      </c>
      <c r="H180" s="53">
        <v>81729230.469999999</v>
      </c>
      <c r="I180" s="53">
        <v>81987195.109999999</v>
      </c>
    </row>
    <row r="181" spans="1:9" s="80" customFormat="1" x14ac:dyDescent="0.25">
      <c r="A181" s="91" t="s">
        <v>202</v>
      </c>
      <c r="B181" s="43">
        <v>701</v>
      </c>
      <c r="C181" s="49" t="s">
        <v>345</v>
      </c>
      <c r="D181" s="49" t="s">
        <v>301</v>
      </c>
      <c r="E181" s="84" t="s">
        <v>203</v>
      </c>
      <c r="F181" s="40"/>
      <c r="G181" s="50">
        <v>87880646.929999992</v>
      </c>
      <c r="H181" s="50">
        <v>81729230.469999999</v>
      </c>
      <c r="I181" s="50">
        <v>81987195.109999999</v>
      </c>
    </row>
    <row r="182" spans="1:9" s="82" customFormat="1" ht="75.75" x14ac:dyDescent="0.25">
      <c r="A182" s="26" t="s">
        <v>193</v>
      </c>
      <c r="B182" s="43">
        <v>701</v>
      </c>
      <c r="C182" s="49" t="s">
        <v>345</v>
      </c>
      <c r="D182" s="49" t="s">
        <v>301</v>
      </c>
      <c r="E182" s="84" t="s">
        <v>203</v>
      </c>
      <c r="F182" s="40">
        <v>100</v>
      </c>
      <c r="G182" s="50">
        <v>74193677.159999996</v>
      </c>
      <c r="H182" s="50">
        <v>74163704.129999995</v>
      </c>
      <c r="I182" s="50">
        <v>74163704.129999995</v>
      </c>
    </row>
    <row r="183" spans="1:9" s="82" customFormat="1" ht="30.75" x14ac:dyDescent="0.25">
      <c r="A183" s="26" t="s">
        <v>194</v>
      </c>
      <c r="B183" s="43">
        <v>701</v>
      </c>
      <c r="C183" s="49" t="s">
        <v>345</v>
      </c>
      <c r="D183" s="49" t="s">
        <v>301</v>
      </c>
      <c r="E183" s="84" t="s">
        <v>203</v>
      </c>
      <c r="F183" s="40">
        <v>200</v>
      </c>
      <c r="G183" s="50">
        <v>11086969.77</v>
      </c>
      <c r="H183" s="50">
        <v>7565526.3399999999</v>
      </c>
      <c r="I183" s="50">
        <v>7823490.9800000004</v>
      </c>
    </row>
    <row r="184" spans="1:9" s="82" customFormat="1" x14ac:dyDescent="0.25">
      <c r="A184" s="25" t="s">
        <v>196</v>
      </c>
      <c r="B184" s="43">
        <v>701</v>
      </c>
      <c r="C184" s="49" t="s">
        <v>345</v>
      </c>
      <c r="D184" s="49" t="s">
        <v>301</v>
      </c>
      <c r="E184" s="84" t="s">
        <v>203</v>
      </c>
      <c r="F184" s="40">
        <v>800</v>
      </c>
      <c r="G184" s="50">
        <v>2600000</v>
      </c>
      <c r="H184" s="50">
        <v>0</v>
      </c>
      <c r="I184" s="50">
        <v>0</v>
      </c>
    </row>
    <row r="185" spans="1:9" s="82" customFormat="1" x14ac:dyDescent="0.25">
      <c r="A185" s="28" t="s">
        <v>206</v>
      </c>
      <c r="B185" s="43">
        <v>701</v>
      </c>
      <c r="C185" s="47" t="s">
        <v>345</v>
      </c>
      <c r="D185" s="47" t="s">
        <v>301</v>
      </c>
      <c r="E185" s="83" t="s">
        <v>190</v>
      </c>
      <c r="F185" s="43"/>
      <c r="G185" s="48">
        <v>94021589.730000004</v>
      </c>
      <c r="H185" s="48">
        <v>97420800</v>
      </c>
      <c r="I185" s="48">
        <v>97420800</v>
      </c>
    </row>
    <row r="186" spans="1:9" s="82" customFormat="1" x14ac:dyDescent="0.25">
      <c r="A186" s="25" t="s">
        <v>202</v>
      </c>
      <c r="B186" s="43">
        <v>701</v>
      </c>
      <c r="C186" s="49" t="s">
        <v>345</v>
      </c>
      <c r="D186" s="49" t="s">
        <v>301</v>
      </c>
      <c r="E186" s="84" t="s">
        <v>203</v>
      </c>
      <c r="F186" s="40"/>
      <c r="G186" s="50">
        <v>94021589.730000004</v>
      </c>
      <c r="H186" s="50">
        <v>97420800</v>
      </c>
      <c r="I186" s="50">
        <v>97420800</v>
      </c>
    </row>
    <row r="187" spans="1:9" s="82" customFormat="1" ht="75.75" x14ac:dyDescent="0.25">
      <c r="A187" s="26" t="s">
        <v>193</v>
      </c>
      <c r="B187" s="43">
        <v>701</v>
      </c>
      <c r="C187" s="49" t="s">
        <v>345</v>
      </c>
      <c r="D187" s="49" t="s">
        <v>301</v>
      </c>
      <c r="E187" s="84" t="s">
        <v>203</v>
      </c>
      <c r="F187" s="40">
        <v>100</v>
      </c>
      <c r="G187" s="51">
        <v>86570549.730000004</v>
      </c>
      <c r="H187" s="51">
        <v>86918500</v>
      </c>
      <c r="I187" s="51">
        <v>86918500</v>
      </c>
    </row>
    <row r="188" spans="1:9" s="82" customFormat="1" ht="30.75" x14ac:dyDescent="0.25">
      <c r="A188" s="26" t="s">
        <v>194</v>
      </c>
      <c r="B188" s="43">
        <v>701</v>
      </c>
      <c r="C188" s="49" t="s">
        <v>345</v>
      </c>
      <c r="D188" s="49" t="s">
        <v>301</v>
      </c>
      <c r="E188" s="84" t="s">
        <v>203</v>
      </c>
      <c r="F188" s="40">
        <v>200</v>
      </c>
      <c r="G188" s="51">
        <v>6950747.3700000001</v>
      </c>
      <c r="H188" s="51">
        <v>10476500</v>
      </c>
      <c r="I188" s="51">
        <v>10476500</v>
      </c>
    </row>
    <row r="189" spans="1:9" s="82" customFormat="1" x14ac:dyDescent="0.25">
      <c r="A189" s="26" t="s">
        <v>195</v>
      </c>
      <c r="B189" s="43">
        <v>701</v>
      </c>
      <c r="C189" s="49" t="s">
        <v>345</v>
      </c>
      <c r="D189" s="49" t="s">
        <v>301</v>
      </c>
      <c r="E189" s="84" t="s">
        <v>203</v>
      </c>
      <c r="F189" s="40">
        <v>300</v>
      </c>
      <c r="G189" s="51">
        <v>379492.63</v>
      </c>
      <c r="H189" s="51">
        <v>0</v>
      </c>
      <c r="I189" s="51">
        <v>0</v>
      </c>
    </row>
    <row r="190" spans="1:9" s="82" customFormat="1" x14ac:dyDescent="0.25">
      <c r="A190" s="25" t="s">
        <v>196</v>
      </c>
      <c r="B190" s="43">
        <v>701</v>
      </c>
      <c r="C190" s="49" t="s">
        <v>345</v>
      </c>
      <c r="D190" s="49" t="s">
        <v>301</v>
      </c>
      <c r="E190" s="84" t="s">
        <v>203</v>
      </c>
      <c r="F190" s="40">
        <v>800</v>
      </c>
      <c r="G190" s="51">
        <v>120800</v>
      </c>
      <c r="H190" s="51">
        <v>25800</v>
      </c>
      <c r="I190" s="51">
        <v>25800</v>
      </c>
    </row>
    <row r="191" spans="1:9" s="82" customFormat="1" ht="31.5" x14ac:dyDescent="0.25">
      <c r="A191" s="28" t="s">
        <v>256</v>
      </c>
      <c r="B191" s="43">
        <v>701</v>
      </c>
      <c r="C191" s="49" t="s">
        <v>345</v>
      </c>
      <c r="D191" s="49" t="s">
        <v>301</v>
      </c>
      <c r="E191" s="83" t="s">
        <v>257</v>
      </c>
      <c r="F191" s="40"/>
      <c r="G191" s="51">
        <v>170080852.59</v>
      </c>
      <c r="H191" s="51">
        <v>0</v>
      </c>
      <c r="I191" s="51">
        <v>0</v>
      </c>
    </row>
    <row r="192" spans="1:9" s="82" customFormat="1" x14ac:dyDescent="0.25">
      <c r="A192" s="25" t="s">
        <v>259</v>
      </c>
      <c r="B192" s="43">
        <v>701</v>
      </c>
      <c r="C192" s="49" t="s">
        <v>345</v>
      </c>
      <c r="D192" s="49" t="s">
        <v>301</v>
      </c>
      <c r="E192" s="84" t="s">
        <v>260</v>
      </c>
      <c r="F192" s="40"/>
      <c r="G192" s="51">
        <v>170080852.59</v>
      </c>
      <c r="H192" s="51">
        <v>0</v>
      </c>
      <c r="I192" s="51">
        <v>0</v>
      </c>
    </row>
    <row r="193" spans="1:11" s="82" customFormat="1" ht="30.75" x14ac:dyDescent="0.25">
      <c r="A193" s="25" t="s">
        <v>261</v>
      </c>
      <c r="B193" s="43">
        <v>701</v>
      </c>
      <c r="C193" s="49" t="s">
        <v>345</v>
      </c>
      <c r="D193" s="49" t="s">
        <v>301</v>
      </c>
      <c r="E193" s="84" t="s">
        <v>260</v>
      </c>
      <c r="F193" s="40">
        <v>400</v>
      </c>
      <c r="G193" s="51">
        <v>170080852.59</v>
      </c>
      <c r="H193" s="51">
        <v>0</v>
      </c>
      <c r="I193" s="51">
        <v>0</v>
      </c>
    </row>
    <row r="194" spans="1:11" s="82" customFormat="1" x14ac:dyDescent="0.25">
      <c r="A194" s="30" t="s">
        <v>294</v>
      </c>
      <c r="B194" s="43">
        <v>701</v>
      </c>
      <c r="C194" s="49" t="s">
        <v>345</v>
      </c>
      <c r="D194" s="49" t="s">
        <v>301</v>
      </c>
      <c r="E194" s="55" t="s">
        <v>295</v>
      </c>
      <c r="F194" s="40"/>
      <c r="G194" s="53">
        <v>189137.86</v>
      </c>
      <c r="H194" s="53">
        <v>0</v>
      </c>
      <c r="I194" s="53">
        <v>0</v>
      </c>
    </row>
    <row r="195" spans="1:11" s="82" customFormat="1" x14ac:dyDescent="0.25">
      <c r="A195" s="26" t="s">
        <v>314</v>
      </c>
      <c r="B195" s="43">
        <v>701</v>
      </c>
      <c r="C195" s="49" t="s">
        <v>345</v>
      </c>
      <c r="D195" s="49" t="s">
        <v>301</v>
      </c>
      <c r="E195" s="54" t="s">
        <v>315</v>
      </c>
      <c r="F195" s="40"/>
      <c r="G195" s="51">
        <v>189137.86</v>
      </c>
      <c r="H195" s="51">
        <v>0</v>
      </c>
      <c r="I195" s="51">
        <v>0</v>
      </c>
    </row>
    <row r="196" spans="1:11" s="82" customFormat="1" ht="30.75" x14ac:dyDescent="0.25">
      <c r="A196" s="26" t="s">
        <v>194</v>
      </c>
      <c r="B196" s="43">
        <v>701</v>
      </c>
      <c r="C196" s="49" t="s">
        <v>345</v>
      </c>
      <c r="D196" s="49" t="s">
        <v>301</v>
      </c>
      <c r="E196" s="84" t="s">
        <v>315</v>
      </c>
      <c r="F196" s="40">
        <v>200</v>
      </c>
      <c r="G196" s="51">
        <v>189137.86</v>
      </c>
      <c r="H196" s="51">
        <v>0</v>
      </c>
      <c r="I196" s="51">
        <v>0</v>
      </c>
    </row>
    <row r="197" spans="1:11" s="82" customFormat="1" x14ac:dyDescent="0.25">
      <c r="A197" s="28" t="s">
        <v>394</v>
      </c>
      <c r="B197" s="43">
        <v>701</v>
      </c>
      <c r="C197" s="47" t="s">
        <v>345</v>
      </c>
      <c r="D197" s="47" t="s">
        <v>345</v>
      </c>
      <c r="E197" s="43"/>
      <c r="F197" s="43"/>
      <c r="G197" s="48">
        <v>100571482.8</v>
      </c>
      <c r="H197" s="48">
        <v>82727641.400000006</v>
      </c>
      <c r="I197" s="48">
        <v>82727641.400000006</v>
      </c>
    </row>
    <row r="198" spans="1:11" s="82" customFormat="1" ht="47.25" x14ac:dyDescent="0.25">
      <c r="A198" s="28" t="s">
        <v>395</v>
      </c>
      <c r="B198" s="43">
        <v>701</v>
      </c>
      <c r="C198" s="47" t="s">
        <v>345</v>
      </c>
      <c r="D198" s="47" t="s">
        <v>345</v>
      </c>
      <c r="E198" s="83" t="s">
        <v>232</v>
      </c>
      <c r="F198" s="43"/>
      <c r="G198" s="48">
        <v>32650488.800000001</v>
      </c>
      <c r="H198" s="48">
        <v>29675883.550000001</v>
      </c>
      <c r="I198" s="48">
        <v>29675883.550000001</v>
      </c>
    </row>
    <row r="199" spans="1:11" s="82" customFormat="1" x14ac:dyDescent="0.25">
      <c r="A199" s="25" t="s">
        <v>191</v>
      </c>
      <c r="B199" s="43">
        <v>701</v>
      </c>
      <c r="C199" s="49" t="s">
        <v>345</v>
      </c>
      <c r="D199" s="49" t="s">
        <v>345</v>
      </c>
      <c r="E199" s="84" t="s">
        <v>233</v>
      </c>
      <c r="F199" s="40"/>
      <c r="G199" s="50">
        <v>17877488.469999999</v>
      </c>
      <c r="H199" s="50">
        <v>14522840.35</v>
      </c>
      <c r="I199" s="50">
        <v>14522840.35</v>
      </c>
    </row>
    <row r="200" spans="1:11" s="82" customFormat="1" ht="75.75" x14ac:dyDescent="0.25">
      <c r="A200" s="25" t="s">
        <v>193</v>
      </c>
      <c r="B200" s="43">
        <v>701</v>
      </c>
      <c r="C200" s="49" t="s">
        <v>345</v>
      </c>
      <c r="D200" s="49" t="s">
        <v>345</v>
      </c>
      <c r="E200" s="84" t="s">
        <v>233</v>
      </c>
      <c r="F200" s="40">
        <v>100</v>
      </c>
      <c r="G200" s="50">
        <v>15772645.17</v>
      </c>
      <c r="H200" s="50">
        <v>13523598.93</v>
      </c>
      <c r="I200" s="50">
        <v>13523598.93</v>
      </c>
    </row>
    <row r="201" spans="1:11" s="82" customFormat="1" ht="30.75" x14ac:dyDescent="0.25">
      <c r="A201" s="26" t="s">
        <v>194</v>
      </c>
      <c r="B201" s="43">
        <v>701</v>
      </c>
      <c r="C201" s="49" t="s">
        <v>345</v>
      </c>
      <c r="D201" s="49" t="s">
        <v>345</v>
      </c>
      <c r="E201" s="84" t="s">
        <v>233</v>
      </c>
      <c r="F201" s="40">
        <v>200</v>
      </c>
      <c r="G201" s="50">
        <v>2104843.2999999998</v>
      </c>
      <c r="H201" s="50">
        <v>999241.42</v>
      </c>
      <c r="I201" s="50">
        <v>999241.42</v>
      </c>
    </row>
    <row r="202" spans="1:11" s="93" customFormat="1" ht="30.75" x14ac:dyDescent="0.25">
      <c r="A202" s="25" t="s">
        <v>234</v>
      </c>
      <c r="B202" s="43">
        <v>701</v>
      </c>
      <c r="C202" s="49" t="s">
        <v>345</v>
      </c>
      <c r="D202" s="49" t="s">
        <v>345</v>
      </c>
      <c r="E202" s="84" t="s">
        <v>235</v>
      </c>
      <c r="F202" s="40"/>
      <c r="G202" s="50">
        <v>12965895.959999999</v>
      </c>
      <c r="H202" s="50">
        <v>13290057.32</v>
      </c>
      <c r="I202" s="50">
        <v>13290057.32</v>
      </c>
      <c r="J202" s="92"/>
      <c r="K202" s="92"/>
    </row>
    <row r="203" spans="1:11" s="93" customFormat="1" ht="75.75" x14ac:dyDescent="0.25">
      <c r="A203" s="25" t="s">
        <v>193</v>
      </c>
      <c r="B203" s="43">
        <v>701</v>
      </c>
      <c r="C203" s="49" t="s">
        <v>345</v>
      </c>
      <c r="D203" s="49" t="s">
        <v>345</v>
      </c>
      <c r="E203" s="84" t="s">
        <v>235</v>
      </c>
      <c r="F203" s="40">
        <v>100</v>
      </c>
      <c r="G203" s="50">
        <v>457203.75</v>
      </c>
      <c r="H203" s="50">
        <v>475491.9</v>
      </c>
      <c r="I203" s="50">
        <v>475491.9</v>
      </c>
      <c r="J203" s="92"/>
      <c r="K203" s="92"/>
    </row>
    <row r="204" spans="1:11" s="93" customFormat="1" ht="30.75" x14ac:dyDescent="0.25">
      <c r="A204" s="26" t="s">
        <v>194</v>
      </c>
      <c r="B204" s="43">
        <v>701</v>
      </c>
      <c r="C204" s="49" t="s">
        <v>345</v>
      </c>
      <c r="D204" s="49" t="s">
        <v>345</v>
      </c>
      <c r="E204" s="84" t="s">
        <v>235</v>
      </c>
      <c r="F204" s="40">
        <v>200</v>
      </c>
      <c r="G204" s="50">
        <v>3727843.53</v>
      </c>
      <c r="H204" s="50">
        <v>3865609.31</v>
      </c>
      <c r="I204" s="50">
        <v>3865609.31</v>
      </c>
    </row>
    <row r="205" spans="1:11" s="93" customFormat="1" x14ac:dyDescent="0.25">
      <c r="A205" s="25" t="s">
        <v>195</v>
      </c>
      <c r="B205" s="43">
        <v>701</v>
      </c>
      <c r="C205" s="49" t="s">
        <v>345</v>
      </c>
      <c r="D205" s="49" t="s">
        <v>345</v>
      </c>
      <c r="E205" s="84" t="s">
        <v>235</v>
      </c>
      <c r="F205" s="40">
        <v>300</v>
      </c>
      <c r="G205" s="50">
        <v>8780848.6799999997</v>
      </c>
      <c r="H205" s="50">
        <v>8948956.1099999994</v>
      </c>
      <c r="I205" s="50">
        <v>8948956.1099999994</v>
      </c>
    </row>
    <row r="206" spans="1:11" s="93" customFormat="1" ht="30.75" x14ac:dyDescent="0.25">
      <c r="A206" s="25" t="s">
        <v>236</v>
      </c>
      <c r="B206" s="43">
        <v>701</v>
      </c>
      <c r="C206" s="49" t="s">
        <v>345</v>
      </c>
      <c r="D206" s="49" t="s">
        <v>345</v>
      </c>
      <c r="E206" s="84" t="s">
        <v>237</v>
      </c>
      <c r="F206" s="40"/>
      <c r="G206" s="50">
        <v>805810.48</v>
      </c>
      <c r="H206" s="50">
        <v>829984.79</v>
      </c>
      <c r="I206" s="50">
        <v>829984.79</v>
      </c>
    </row>
    <row r="207" spans="1:11" s="93" customFormat="1" ht="30.75" x14ac:dyDescent="0.25">
      <c r="A207" s="26" t="s">
        <v>194</v>
      </c>
      <c r="B207" s="43">
        <v>701</v>
      </c>
      <c r="C207" s="49" t="s">
        <v>345</v>
      </c>
      <c r="D207" s="49" t="s">
        <v>345</v>
      </c>
      <c r="E207" s="84" t="s">
        <v>237</v>
      </c>
      <c r="F207" s="40">
        <v>200</v>
      </c>
      <c r="G207" s="50">
        <v>264211.76</v>
      </c>
      <c r="H207" s="50">
        <v>272138.11</v>
      </c>
      <c r="I207" s="50">
        <v>272138.11</v>
      </c>
    </row>
    <row r="208" spans="1:11" s="93" customFormat="1" x14ac:dyDescent="0.25">
      <c r="A208" s="25" t="s">
        <v>195</v>
      </c>
      <c r="B208" s="43">
        <v>701</v>
      </c>
      <c r="C208" s="49" t="s">
        <v>345</v>
      </c>
      <c r="D208" s="49" t="s">
        <v>345</v>
      </c>
      <c r="E208" s="84" t="s">
        <v>237</v>
      </c>
      <c r="F208" s="40">
        <v>300</v>
      </c>
      <c r="G208" s="50">
        <v>541598.71999999997</v>
      </c>
      <c r="H208" s="50">
        <v>186531.68</v>
      </c>
      <c r="I208" s="50">
        <v>186531.68</v>
      </c>
    </row>
    <row r="209" spans="1:9" s="93" customFormat="1" ht="30.75" x14ac:dyDescent="0.25">
      <c r="A209" s="25" t="s">
        <v>201</v>
      </c>
      <c r="B209" s="43">
        <v>701</v>
      </c>
      <c r="C209" s="49" t="s">
        <v>345</v>
      </c>
      <c r="D209" s="49" t="s">
        <v>345</v>
      </c>
      <c r="E209" s="84" t="s">
        <v>237</v>
      </c>
      <c r="F209" s="40">
        <v>600</v>
      </c>
      <c r="G209" s="50">
        <v>0</v>
      </c>
      <c r="H209" s="50">
        <v>371315</v>
      </c>
      <c r="I209" s="50">
        <v>371315</v>
      </c>
    </row>
    <row r="210" spans="1:9" s="93" customFormat="1" x14ac:dyDescent="0.25">
      <c r="A210" s="25" t="s">
        <v>196</v>
      </c>
      <c r="B210" s="43">
        <v>701</v>
      </c>
      <c r="C210" s="49" t="s">
        <v>345</v>
      </c>
      <c r="D210" s="49" t="s">
        <v>345</v>
      </c>
      <c r="E210" s="84" t="s">
        <v>237</v>
      </c>
      <c r="F210" s="40">
        <v>800</v>
      </c>
      <c r="G210" s="50">
        <v>0</v>
      </c>
      <c r="H210" s="50">
        <v>0</v>
      </c>
      <c r="I210" s="50">
        <v>0</v>
      </c>
    </row>
    <row r="211" spans="1:9" s="93" customFormat="1" ht="30.75" x14ac:dyDescent="0.25">
      <c r="A211" s="26" t="s">
        <v>396</v>
      </c>
      <c r="B211" s="43">
        <v>701</v>
      </c>
      <c r="C211" s="49" t="s">
        <v>345</v>
      </c>
      <c r="D211" s="49" t="s">
        <v>345</v>
      </c>
      <c r="E211" s="49" t="s">
        <v>240</v>
      </c>
      <c r="F211" s="49"/>
      <c r="G211" s="50">
        <v>1001293.89</v>
      </c>
      <c r="H211" s="50">
        <v>1033001.09</v>
      </c>
      <c r="I211" s="50">
        <v>1033001.09</v>
      </c>
    </row>
    <row r="212" spans="1:9" s="93" customFormat="1" ht="30.75" x14ac:dyDescent="0.25">
      <c r="A212" s="26" t="s">
        <v>194</v>
      </c>
      <c r="B212" s="43">
        <v>701</v>
      </c>
      <c r="C212" s="49" t="s">
        <v>345</v>
      </c>
      <c r="D212" s="49" t="s">
        <v>345</v>
      </c>
      <c r="E212" s="49" t="s">
        <v>240</v>
      </c>
      <c r="F212" s="49" t="s">
        <v>241</v>
      </c>
      <c r="G212" s="50">
        <v>1001293.89</v>
      </c>
      <c r="H212" s="50">
        <v>1033001.09</v>
      </c>
      <c r="I212" s="50">
        <v>1033001.09</v>
      </c>
    </row>
    <row r="213" spans="1:9" s="93" customFormat="1" x14ac:dyDescent="0.25">
      <c r="A213" s="28" t="s">
        <v>397</v>
      </c>
      <c r="B213" s="43">
        <v>701</v>
      </c>
      <c r="C213" s="47" t="s">
        <v>345</v>
      </c>
      <c r="D213" s="47" t="s">
        <v>345</v>
      </c>
      <c r="E213" s="83" t="s">
        <v>190</v>
      </c>
      <c r="F213" s="43"/>
      <c r="G213" s="48">
        <v>67920994</v>
      </c>
      <c r="H213" s="48">
        <v>53051757.850000001</v>
      </c>
      <c r="I213" s="48">
        <v>53051757.850000001</v>
      </c>
    </row>
    <row r="214" spans="1:9" s="93" customFormat="1" x14ac:dyDescent="0.25">
      <c r="A214" s="25" t="s">
        <v>204</v>
      </c>
      <c r="B214" s="43">
        <v>701</v>
      </c>
      <c r="C214" s="49" t="s">
        <v>345</v>
      </c>
      <c r="D214" s="49" t="s">
        <v>345</v>
      </c>
      <c r="E214" s="84" t="s">
        <v>205</v>
      </c>
      <c r="F214" s="40"/>
      <c r="G214" s="50">
        <v>67920994</v>
      </c>
      <c r="H214" s="50">
        <v>53051757.850000001</v>
      </c>
      <c r="I214" s="50">
        <v>53051757.850000001</v>
      </c>
    </row>
    <row r="215" spans="1:9" s="93" customFormat="1" ht="75.75" x14ac:dyDescent="0.25">
      <c r="A215" s="25" t="s">
        <v>193</v>
      </c>
      <c r="B215" s="43">
        <v>701</v>
      </c>
      <c r="C215" s="49" t="s">
        <v>345</v>
      </c>
      <c r="D215" s="49" t="s">
        <v>345</v>
      </c>
      <c r="E215" s="84" t="s">
        <v>205</v>
      </c>
      <c r="F215" s="40">
        <v>100</v>
      </c>
      <c r="G215" s="50">
        <v>14767316</v>
      </c>
      <c r="H215" s="50">
        <v>0</v>
      </c>
      <c r="I215" s="50">
        <v>0</v>
      </c>
    </row>
    <row r="216" spans="1:9" s="93" customFormat="1" ht="30.75" x14ac:dyDescent="0.25">
      <c r="A216" s="26" t="s">
        <v>194</v>
      </c>
      <c r="B216" s="43">
        <v>701</v>
      </c>
      <c r="C216" s="49" t="s">
        <v>345</v>
      </c>
      <c r="D216" s="49" t="s">
        <v>345</v>
      </c>
      <c r="E216" s="84" t="s">
        <v>205</v>
      </c>
      <c r="F216" s="40">
        <v>200</v>
      </c>
      <c r="G216" s="50">
        <v>22148784.670000002</v>
      </c>
      <c r="H216" s="50">
        <v>0</v>
      </c>
      <c r="I216" s="50">
        <v>0</v>
      </c>
    </row>
    <row r="217" spans="1:9" s="93" customFormat="1" hidden="1" x14ac:dyDescent="0.25">
      <c r="A217" s="26" t="s">
        <v>195</v>
      </c>
      <c r="B217" s="43">
        <v>701</v>
      </c>
      <c r="C217" s="49" t="s">
        <v>345</v>
      </c>
      <c r="D217" s="49" t="s">
        <v>345</v>
      </c>
      <c r="E217" s="84" t="s">
        <v>205</v>
      </c>
      <c r="F217" s="40">
        <v>300</v>
      </c>
      <c r="G217" s="50"/>
      <c r="H217" s="50"/>
      <c r="I217" s="50"/>
    </row>
    <row r="218" spans="1:9" s="93" customFormat="1" ht="30.75" x14ac:dyDescent="0.25">
      <c r="A218" s="25" t="s">
        <v>201</v>
      </c>
      <c r="B218" s="43">
        <v>701</v>
      </c>
      <c r="C218" s="49" t="s">
        <v>345</v>
      </c>
      <c r="D218" s="49" t="s">
        <v>345</v>
      </c>
      <c r="E218" s="84" t="s">
        <v>205</v>
      </c>
      <c r="F218" s="40">
        <v>600</v>
      </c>
      <c r="G218" s="50">
        <v>31004893.329999998</v>
      </c>
      <c r="H218" s="50">
        <v>14026991.85</v>
      </c>
      <c r="I218" s="50">
        <v>14026991.85</v>
      </c>
    </row>
    <row r="219" spans="1:9" s="93" customFormat="1" x14ac:dyDescent="0.25">
      <c r="A219" s="25" t="s">
        <v>196</v>
      </c>
      <c r="B219" s="43">
        <v>701</v>
      </c>
      <c r="C219" s="49" t="s">
        <v>345</v>
      </c>
      <c r="D219" s="49" t="s">
        <v>345</v>
      </c>
      <c r="E219" s="84" t="s">
        <v>205</v>
      </c>
      <c r="F219" s="40">
        <v>800</v>
      </c>
      <c r="G219" s="50">
        <v>0</v>
      </c>
      <c r="H219" s="50">
        <v>39024766</v>
      </c>
      <c r="I219" s="50">
        <v>39024766</v>
      </c>
    </row>
    <row r="220" spans="1:9" s="94" customFormat="1" x14ac:dyDescent="0.25">
      <c r="A220" s="28" t="s">
        <v>349</v>
      </c>
      <c r="B220" s="43">
        <v>701</v>
      </c>
      <c r="C220" s="47" t="s">
        <v>345</v>
      </c>
      <c r="D220" s="47" t="s">
        <v>350</v>
      </c>
      <c r="E220" s="43"/>
      <c r="F220" s="43"/>
      <c r="G220" s="48">
        <v>80628461.640000001</v>
      </c>
      <c r="H220" s="48">
        <v>83274533</v>
      </c>
      <c r="I220" s="48">
        <v>83274533</v>
      </c>
    </row>
    <row r="221" spans="1:9" s="94" customFormat="1" x14ac:dyDescent="0.25">
      <c r="A221" s="28" t="s">
        <v>189</v>
      </c>
      <c r="B221" s="43">
        <v>701</v>
      </c>
      <c r="C221" s="47" t="s">
        <v>345</v>
      </c>
      <c r="D221" s="47" t="s">
        <v>350</v>
      </c>
      <c r="E221" s="83" t="s">
        <v>190</v>
      </c>
      <c r="F221" s="43"/>
      <c r="G221" s="48">
        <v>80628461.640000001</v>
      </c>
      <c r="H221" s="48">
        <v>83274533</v>
      </c>
      <c r="I221" s="48">
        <v>83274533</v>
      </c>
    </row>
    <row r="222" spans="1:9" s="94" customFormat="1" x14ac:dyDescent="0.25">
      <c r="A222" s="25" t="s">
        <v>398</v>
      </c>
      <c r="B222" s="43">
        <v>701</v>
      </c>
      <c r="C222" s="49" t="s">
        <v>345</v>
      </c>
      <c r="D222" s="49" t="s">
        <v>350</v>
      </c>
      <c r="E222" s="84" t="s">
        <v>192</v>
      </c>
      <c r="F222" s="40"/>
      <c r="G222" s="50">
        <v>80628461.640000001</v>
      </c>
      <c r="H222" s="50">
        <v>83274533</v>
      </c>
      <c r="I222" s="50">
        <v>83274533</v>
      </c>
    </row>
    <row r="223" spans="1:9" s="94" customFormat="1" ht="75.75" x14ac:dyDescent="0.25">
      <c r="A223" s="25" t="s">
        <v>193</v>
      </c>
      <c r="B223" s="43">
        <v>701</v>
      </c>
      <c r="C223" s="49" t="s">
        <v>345</v>
      </c>
      <c r="D223" s="49" t="s">
        <v>350</v>
      </c>
      <c r="E223" s="84" t="s">
        <v>192</v>
      </c>
      <c r="F223" s="40">
        <v>100</v>
      </c>
      <c r="G223" s="79">
        <v>51691348</v>
      </c>
      <c r="H223" s="79">
        <v>51577456</v>
      </c>
      <c r="I223" s="79">
        <v>51577456</v>
      </c>
    </row>
    <row r="224" spans="1:9" s="94" customFormat="1" ht="30.75" x14ac:dyDescent="0.25">
      <c r="A224" s="26" t="s">
        <v>194</v>
      </c>
      <c r="B224" s="43">
        <v>701</v>
      </c>
      <c r="C224" s="49" t="s">
        <v>345</v>
      </c>
      <c r="D224" s="49" t="s">
        <v>350</v>
      </c>
      <c r="E224" s="84" t="s">
        <v>192</v>
      </c>
      <c r="F224" s="40">
        <v>200</v>
      </c>
      <c r="G224" s="79">
        <v>9979362.9399999995</v>
      </c>
      <c r="H224" s="79">
        <v>11142077</v>
      </c>
      <c r="I224" s="79">
        <v>11142077</v>
      </c>
    </row>
    <row r="225" spans="1:9" s="95" customFormat="1" x14ac:dyDescent="0.25">
      <c r="A225" s="25" t="s">
        <v>195</v>
      </c>
      <c r="B225" s="43">
        <v>701</v>
      </c>
      <c r="C225" s="49" t="s">
        <v>345</v>
      </c>
      <c r="D225" s="49" t="s">
        <v>350</v>
      </c>
      <c r="E225" s="84" t="s">
        <v>192</v>
      </c>
      <c r="F225" s="40">
        <v>300</v>
      </c>
      <c r="G225" s="79">
        <v>18957750.699999999</v>
      </c>
      <c r="H225" s="79">
        <v>16555000</v>
      </c>
      <c r="I225" s="79">
        <v>16555000</v>
      </c>
    </row>
    <row r="226" spans="1:9" s="95" customFormat="1" x14ac:dyDescent="0.25">
      <c r="A226" s="25" t="s">
        <v>196</v>
      </c>
      <c r="B226" s="43">
        <v>701</v>
      </c>
      <c r="C226" s="49" t="s">
        <v>345</v>
      </c>
      <c r="D226" s="49" t="s">
        <v>350</v>
      </c>
      <c r="E226" s="84" t="s">
        <v>192</v>
      </c>
      <c r="F226" s="40">
        <v>800</v>
      </c>
      <c r="G226" s="79">
        <v>0</v>
      </c>
      <c r="H226" s="79">
        <v>4000000</v>
      </c>
      <c r="I226" s="79">
        <v>4000000</v>
      </c>
    </row>
    <row r="227" spans="1:9" s="95" customFormat="1" hidden="1" x14ac:dyDescent="0.25">
      <c r="A227" s="30" t="s">
        <v>294</v>
      </c>
      <c r="B227" s="43">
        <v>701</v>
      </c>
      <c r="C227" s="49" t="s">
        <v>345</v>
      </c>
      <c r="D227" s="49" t="s">
        <v>350</v>
      </c>
      <c r="E227" s="55" t="s">
        <v>295</v>
      </c>
      <c r="F227" s="43"/>
      <c r="G227" s="79">
        <v>0</v>
      </c>
      <c r="H227" s="79">
        <v>0</v>
      </c>
      <c r="I227" s="79">
        <v>0</v>
      </c>
    </row>
    <row r="228" spans="1:9" s="95" customFormat="1" hidden="1" x14ac:dyDescent="0.25">
      <c r="A228" s="26" t="s">
        <v>314</v>
      </c>
      <c r="B228" s="43">
        <v>701</v>
      </c>
      <c r="C228" s="49" t="s">
        <v>345</v>
      </c>
      <c r="D228" s="49" t="s">
        <v>350</v>
      </c>
      <c r="E228" s="54" t="s">
        <v>315</v>
      </c>
      <c r="F228" s="40"/>
      <c r="G228" s="79">
        <v>0</v>
      </c>
      <c r="H228" s="79">
        <v>0</v>
      </c>
      <c r="I228" s="79">
        <v>0</v>
      </c>
    </row>
    <row r="229" spans="1:9" s="95" customFormat="1" ht="30.75" hidden="1" x14ac:dyDescent="0.25">
      <c r="A229" s="26" t="s">
        <v>194</v>
      </c>
      <c r="B229" s="43">
        <v>701</v>
      </c>
      <c r="C229" s="49" t="s">
        <v>345</v>
      </c>
      <c r="D229" s="49" t="s">
        <v>350</v>
      </c>
      <c r="E229" s="54" t="s">
        <v>315</v>
      </c>
      <c r="F229" s="40">
        <v>200</v>
      </c>
      <c r="G229" s="79">
        <v>0</v>
      </c>
      <c r="H229" s="79">
        <v>0</v>
      </c>
      <c r="I229" s="79">
        <v>0</v>
      </c>
    </row>
    <row r="230" spans="1:9" s="94" customFormat="1" x14ac:dyDescent="0.25">
      <c r="A230" s="28" t="s">
        <v>351</v>
      </c>
      <c r="B230" s="43">
        <v>701</v>
      </c>
      <c r="C230" s="47" t="s">
        <v>352</v>
      </c>
      <c r="D230" s="47"/>
      <c r="E230" s="43"/>
      <c r="F230" s="43"/>
      <c r="G230" s="48">
        <v>144513697.06</v>
      </c>
      <c r="H230" s="48">
        <v>140336400</v>
      </c>
      <c r="I230" s="48">
        <v>140336400</v>
      </c>
    </row>
    <row r="231" spans="1:9" s="94" customFormat="1" x14ac:dyDescent="0.25">
      <c r="A231" s="28" t="s">
        <v>353</v>
      </c>
      <c r="B231" s="43">
        <v>701</v>
      </c>
      <c r="C231" s="47" t="s">
        <v>352</v>
      </c>
      <c r="D231" s="47" t="s">
        <v>291</v>
      </c>
      <c r="E231" s="43"/>
      <c r="F231" s="43"/>
      <c r="G231" s="48">
        <v>104699698.59</v>
      </c>
      <c r="H231" s="48">
        <v>110420700</v>
      </c>
      <c r="I231" s="48">
        <v>110420700</v>
      </c>
    </row>
    <row r="232" spans="1:9" s="95" customFormat="1" x14ac:dyDescent="0.25">
      <c r="A232" s="28" t="s">
        <v>206</v>
      </c>
      <c r="B232" s="43">
        <v>701</v>
      </c>
      <c r="C232" s="47" t="s">
        <v>352</v>
      </c>
      <c r="D232" s="47" t="s">
        <v>291</v>
      </c>
      <c r="E232" s="83" t="s">
        <v>207</v>
      </c>
      <c r="F232" s="43"/>
      <c r="G232" s="48">
        <v>103482417.59</v>
      </c>
      <c r="H232" s="48">
        <v>109520700</v>
      </c>
      <c r="I232" s="48">
        <v>109520700</v>
      </c>
    </row>
    <row r="233" spans="1:9" s="95" customFormat="1" ht="30.75" x14ac:dyDescent="0.25">
      <c r="A233" s="25" t="s">
        <v>209</v>
      </c>
      <c r="B233" s="43">
        <v>701</v>
      </c>
      <c r="C233" s="49" t="s">
        <v>352</v>
      </c>
      <c r="D233" s="49" t="s">
        <v>291</v>
      </c>
      <c r="E233" s="84" t="s">
        <v>210</v>
      </c>
      <c r="F233" s="40"/>
      <c r="G233" s="50">
        <v>2248800</v>
      </c>
      <c r="H233" s="50">
        <v>2480300</v>
      </c>
      <c r="I233" s="50">
        <v>2480300</v>
      </c>
    </row>
    <row r="234" spans="1:9" s="94" customFormat="1" ht="30.75" x14ac:dyDescent="0.25">
      <c r="A234" s="26" t="s">
        <v>194</v>
      </c>
      <c r="B234" s="43">
        <v>701</v>
      </c>
      <c r="C234" s="49" t="s">
        <v>352</v>
      </c>
      <c r="D234" s="49" t="s">
        <v>291</v>
      </c>
      <c r="E234" s="84" t="s">
        <v>210</v>
      </c>
      <c r="F234" s="40">
        <v>200</v>
      </c>
      <c r="G234" s="50">
        <v>2238800</v>
      </c>
      <c r="H234" s="50">
        <v>2470300</v>
      </c>
      <c r="I234" s="50">
        <v>2470300</v>
      </c>
    </row>
    <row r="235" spans="1:9" s="95" customFormat="1" x14ac:dyDescent="0.25">
      <c r="A235" s="25" t="s">
        <v>196</v>
      </c>
      <c r="B235" s="43">
        <v>701</v>
      </c>
      <c r="C235" s="49" t="s">
        <v>352</v>
      </c>
      <c r="D235" s="49" t="s">
        <v>291</v>
      </c>
      <c r="E235" s="84" t="s">
        <v>210</v>
      </c>
      <c r="F235" s="40">
        <v>800</v>
      </c>
      <c r="G235" s="50">
        <v>10000</v>
      </c>
      <c r="H235" s="50">
        <v>10000</v>
      </c>
      <c r="I235" s="50">
        <v>10000</v>
      </c>
    </row>
    <row r="236" spans="1:9" s="95" customFormat="1" ht="45" x14ac:dyDescent="0.25">
      <c r="A236" s="96" t="s">
        <v>399</v>
      </c>
      <c r="B236" s="43">
        <v>701</v>
      </c>
      <c r="C236" s="49" t="s">
        <v>352</v>
      </c>
      <c r="D236" s="49" t="s">
        <v>291</v>
      </c>
      <c r="E236" s="84" t="s">
        <v>211</v>
      </c>
      <c r="F236" s="40"/>
      <c r="G236" s="50">
        <v>101233617.59</v>
      </c>
      <c r="H236" s="50">
        <v>107040400</v>
      </c>
      <c r="I236" s="50">
        <v>107040400</v>
      </c>
    </row>
    <row r="237" spans="1:9" s="95" customFormat="1" x14ac:dyDescent="0.25">
      <c r="A237" s="97" t="s">
        <v>465</v>
      </c>
      <c r="B237" s="43">
        <v>701</v>
      </c>
      <c r="C237" s="49" t="s">
        <v>352</v>
      </c>
      <c r="D237" s="49" t="s">
        <v>291</v>
      </c>
      <c r="E237" s="84" t="s">
        <v>282</v>
      </c>
      <c r="F237" s="40"/>
      <c r="G237" s="50">
        <v>79622317.590000004</v>
      </c>
      <c r="H237" s="50">
        <v>83746900</v>
      </c>
      <c r="I237" s="50">
        <v>83746900</v>
      </c>
    </row>
    <row r="238" spans="1:9" s="95" customFormat="1" ht="75.75" x14ac:dyDescent="0.25">
      <c r="A238" s="25" t="s">
        <v>193</v>
      </c>
      <c r="B238" s="43">
        <v>701</v>
      </c>
      <c r="C238" s="49" t="s">
        <v>352</v>
      </c>
      <c r="D238" s="49" t="s">
        <v>291</v>
      </c>
      <c r="E238" s="84" t="s">
        <v>282</v>
      </c>
      <c r="F238" s="40">
        <v>100</v>
      </c>
      <c r="G238" s="79">
        <v>62881475.590000004</v>
      </c>
      <c r="H238" s="79">
        <v>63476900</v>
      </c>
      <c r="I238" s="79">
        <v>63476900</v>
      </c>
    </row>
    <row r="239" spans="1:9" s="95" customFormat="1" ht="30.75" x14ac:dyDescent="0.25">
      <c r="A239" s="26" t="s">
        <v>194</v>
      </c>
      <c r="B239" s="43">
        <v>701</v>
      </c>
      <c r="C239" s="49" t="s">
        <v>352</v>
      </c>
      <c r="D239" s="49" t="s">
        <v>291</v>
      </c>
      <c r="E239" s="84" t="s">
        <v>282</v>
      </c>
      <c r="F239" s="40">
        <v>200</v>
      </c>
      <c r="G239" s="79">
        <v>15926742</v>
      </c>
      <c r="H239" s="79">
        <v>19748900</v>
      </c>
      <c r="I239" s="79">
        <v>19748900</v>
      </c>
    </row>
    <row r="240" spans="1:9" s="95" customFormat="1" x14ac:dyDescent="0.25">
      <c r="A240" s="25" t="s">
        <v>195</v>
      </c>
      <c r="B240" s="43">
        <v>701</v>
      </c>
      <c r="C240" s="49" t="s">
        <v>352</v>
      </c>
      <c r="D240" s="49" t="s">
        <v>291</v>
      </c>
      <c r="E240" s="84" t="s">
        <v>282</v>
      </c>
      <c r="F240" s="40">
        <v>300</v>
      </c>
      <c r="G240" s="79">
        <v>50000</v>
      </c>
      <c r="H240" s="79">
        <v>0</v>
      </c>
      <c r="I240" s="79">
        <v>0</v>
      </c>
    </row>
    <row r="241" spans="1:9" s="95" customFormat="1" x14ac:dyDescent="0.25">
      <c r="A241" s="25" t="s">
        <v>196</v>
      </c>
      <c r="B241" s="43">
        <v>701</v>
      </c>
      <c r="C241" s="49" t="s">
        <v>352</v>
      </c>
      <c r="D241" s="49" t="s">
        <v>291</v>
      </c>
      <c r="E241" s="84" t="s">
        <v>282</v>
      </c>
      <c r="F241" s="40">
        <v>800</v>
      </c>
      <c r="G241" s="79">
        <v>764100</v>
      </c>
      <c r="H241" s="79">
        <v>521100</v>
      </c>
      <c r="I241" s="79">
        <v>521100</v>
      </c>
    </row>
    <row r="242" spans="1:9" s="95" customFormat="1" x14ac:dyDescent="0.25">
      <c r="A242" s="25" t="s">
        <v>466</v>
      </c>
      <c r="B242" s="43">
        <v>701</v>
      </c>
      <c r="C242" s="49" t="s">
        <v>352</v>
      </c>
      <c r="D242" s="49" t="s">
        <v>291</v>
      </c>
      <c r="E242" s="84" t="s">
        <v>283</v>
      </c>
      <c r="F242" s="40"/>
      <c r="G242" s="79">
        <v>21611300</v>
      </c>
      <c r="H242" s="79">
        <v>23293500</v>
      </c>
      <c r="I242" s="79">
        <v>23293500</v>
      </c>
    </row>
    <row r="243" spans="1:9" s="95" customFormat="1" ht="75.75" x14ac:dyDescent="0.25">
      <c r="A243" s="25" t="s">
        <v>193</v>
      </c>
      <c r="B243" s="43">
        <v>701</v>
      </c>
      <c r="C243" s="49" t="s">
        <v>352</v>
      </c>
      <c r="D243" s="49" t="s">
        <v>291</v>
      </c>
      <c r="E243" s="84" t="s">
        <v>283</v>
      </c>
      <c r="F243" s="40">
        <v>100</v>
      </c>
      <c r="G243" s="79">
        <v>19983700</v>
      </c>
      <c r="H243" s="79">
        <v>20169700</v>
      </c>
      <c r="I243" s="79">
        <v>20169700</v>
      </c>
    </row>
    <row r="244" spans="1:9" s="95" customFormat="1" ht="30.75" x14ac:dyDescent="0.25">
      <c r="A244" s="26" t="s">
        <v>194</v>
      </c>
      <c r="B244" s="43">
        <v>701</v>
      </c>
      <c r="C244" s="49" t="s">
        <v>352</v>
      </c>
      <c r="D244" s="49" t="s">
        <v>291</v>
      </c>
      <c r="E244" s="84" t="s">
        <v>283</v>
      </c>
      <c r="F244" s="40">
        <v>200</v>
      </c>
      <c r="G244" s="79">
        <v>1354000</v>
      </c>
      <c r="H244" s="79">
        <v>3036200</v>
      </c>
      <c r="I244" s="79">
        <v>3036200</v>
      </c>
    </row>
    <row r="245" spans="1:9" s="95" customFormat="1" x14ac:dyDescent="0.25">
      <c r="A245" s="26" t="s">
        <v>195</v>
      </c>
      <c r="B245" s="43">
        <v>701</v>
      </c>
      <c r="C245" s="49" t="s">
        <v>352</v>
      </c>
      <c r="D245" s="49" t="s">
        <v>291</v>
      </c>
      <c r="E245" s="84" t="s">
        <v>283</v>
      </c>
      <c r="F245" s="40">
        <v>300</v>
      </c>
      <c r="G245" s="79">
        <v>186000</v>
      </c>
      <c r="H245" s="79">
        <v>0</v>
      </c>
      <c r="I245" s="79">
        <v>0</v>
      </c>
    </row>
    <row r="246" spans="1:9" s="95" customFormat="1" x14ac:dyDescent="0.25">
      <c r="A246" s="25" t="s">
        <v>196</v>
      </c>
      <c r="B246" s="43">
        <v>701</v>
      </c>
      <c r="C246" s="49" t="s">
        <v>352</v>
      </c>
      <c r="D246" s="49" t="s">
        <v>291</v>
      </c>
      <c r="E246" s="84" t="s">
        <v>283</v>
      </c>
      <c r="F246" s="40">
        <v>800</v>
      </c>
      <c r="G246" s="79">
        <v>87600</v>
      </c>
      <c r="H246" s="79">
        <v>87600</v>
      </c>
      <c r="I246" s="79">
        <v>87600</v>
      </c>
    </row>
    <row r="247" spans="1:9" s="94" customFormat="1" ht="31.5" hidden="1" x14ac:dyDescent="0.25">
      <c r="A247" s="29" t="s">
        <v>212</v>
      </c>
      <c r="B247" s="43">
        <v>701</v>
      </c>
      <c r="C247" s="47" t="s">
        <v>352</v>
      </c>
      <c r="D247" s="47" t="s">
        <v>291</v>
      </c>
      <c r="E247" s="83" t="s">
        <v>213</v>
      </c>
      <c r="F247" s="43"/>
      <c r="G247" s="98">
        <v>0</v>
      </c>
      <c r="H247" s="98">
        <v>0</v>
      </c>
      <c r="I247" s="98">
        <v>0</v>
      </c>
    </row>
    <row r="248" spans="1:9" s="95" customFormat="1" ht="30.75" hidden="1" x14ac:dyDescent="0.25">
      <c r="A248" s="25" t="s">
        <v>214</v>
      </c>
      <c r="B248" s="43">
        <v>701</v>
      </c>
      <c r="C248" s="49" t="s">
        <v>352</v>
      </c>
      <c r="D248" s="49" t="s">
        <v>291</v>
      </c>
      <c r="E248" s="84" t="s">
        <v>213</v>
      </c>
      <c r="F248" s="40">
        <v>400</v>
      </c>
      <c r="G248" s="79">
        <v>0</v>
      </c>
      <c r="H248" s="79">
        <v>0</v>
      </c>
      <c r="I248" s="79">
        <v>0</v>
      </c>
    </row>
    <row r="249" spans="1:9" s="95" customFormat="1" ht="31.5" x14ac:dyDescent="0.25">
      <c r="A249" s="28" t="s">
        <v>280</v>
      </c>
      <c r="B249" s="43">
        <v>701</v>
      </c>
      <c r="C249" s="49" t="s">
        <v>352</v>
      </c>
      <c r="D249" s="49" t="s">
        <v>291</v>
      </c>
      <c r="E249" s="83" t="s">
        <v>400</v>
      </c>
      <c r="F249" s="43"/>
      <c r="G249" s="98">
        <v>1217281</v>
      </c>
      <c r="H249" s="98">
        <v>0</v>
      </c>
      <c r="I249" s="98">
        <v>0</v>
      </c>
    </row>
    <row r="250" spans="1:9" s="95" customFormat="1" ht="31.5" x14ac:dyDescent="0.25">
      <c r="A250" s="28" t="s">
        <v>281</v>
      </c>
      <c r="B250" s="43">
        <v>701</v>
      </c>
      <c r="C250" s="49" t="s">
        <v>352</v>
      </c>
      <c r="D250" s="49" t="s">
        <v>291</v>
      </c>
      <c r="E250" s="83" t="s">
        <v>401</v>
      </c>
      <c r="F250" s="43"/>
      <c r="G250" s="98">
        <v>1217281</v>
      </c>
      <c r="H250" s="98">
        <v>0</v>
      </c>
      <c r="I250" s="98">
        <v>0</v>
      </c>
    </row>
    <row r="251" spans="1:9" s="95" customFormat="1" ht="30.75" x14ac:dyDescent="0.25">
      <c r="A251" s="25" t="s">
        <v>214</v>
      </c>
      <c r="B251" s="43">
        <v>701</v>
      </c>
      <c r="C251" s="49" t="s">
        <v>352</v>
      </c>
      <c r="D251" s="49" t="s">
        <v>291</v>
      </c>
      <c r="E251" s="84" t="s">
        <v>401</v>
      </c>
      <c r="F251" s="40">
        <v>400</v>
      </c>
      <c r="G251" s="79">
        <v>1217281</v>
      </c>
      <c r="H251" s="79">
        <v>0</v>
      </c>
      <c r="I251" s="79">
        <v>0</v>
      </c>
    </row>
    <row r="252" spans="1:9" s="94" customFormat="1" x14ac:dyDescent="0.25">
      <c r="A252" s="30" t="s">
        <v>294</v>
      </c>
      <c r="B252" s="43">
        <v>701</v>
      </c>
      <c r="C252" s="47" t="s">
        <v>352</v>
      </c>
      <c r="D252" s="47" t="s">
        <v>291</v>
      </c>
      <c r="E252" s="47" t="s">
        <v>295</v>
      </c>
      <c r="F252" s="43"/>
      <c r="G252" s="98">
        <v>0</v>
      </c>
      <c r="H252" s="98">
        <v>900000</v>
      </c>
      <c r="I252" s="98">
        <v>900000</v>
      </c>
    </row>
    <row r="253" spans="1:9" s="95" customFormat="1" x14ac:dyDescent="0.25">
      <c r="A253" s="26" t="s">
        <v>314</v>
      </c>
      <c r="B253" s="43">
        <v>701</v>
      </c>
      <c r="C253" s="49" t="s">
        <v>352</v>
      </c>
      <c r="D253" s="49" t="s">
        <v>291</v>
      </c>
      <c r="E253" s="49" t="s">
        <v>315</v>
      </c>
      <c r="F253" s="40"/>
      <c r="G253" s="79">
        <v>0</v>
      </c>
      <c r="H253" s="79">
        <v>900000</v>
      </c>
      <c r="I253" s="79">
        <v>900000</v>
      </c>
    </row>
    <row r="254" spans="1:9" s="95" customFormat="1" ht="30.75" x14ac:dyDescent="0.25">
      <c r="A254" s="26" t="s">
        <v>194</v>
      </c>
      <c r="B254" s="43">
        <v>701</v>
      </c>
      <c r="C254" s="49" t="s">
        <v>352</v>
      </c>
      <c r="D254" s="49" t="s">
        <v>291</v>
      </c>
      <c r="E254" s="49" t="s">
        <v>315</v>
      </c>
      <c r="F254" s="40">
        <v>200</v>
      </c>
      <c r="G254" s="79">
        <v>0</v>
      </c>
      <c r="H254" s="79">
        <v>900000</v>
      </c>
      <c r="I254" s="79">
        <v>900000</v>
      </c>
    </row>
    <row r="255" spans="1:9" s="94" customFormat="1" ht="31.5" x14ac:dyDescent="0.25">
      <c r="A255" s="28" t="s">
        <v>402</v>
      </c>
      <c r="B255" s="43">
        <v>701</v>
      </c>
      <c r="C255" s="47" t="s">
        <v>352</v>
      </c>
      <c r="D255" s="47" t="s">
        <v>305</v>
      </c>
      <c r="E255" s="43"/>
      <c r="F255" s="43"/>
      <c r="G255" s="48">
        <v>39813998.469999999</v>
      </c>
      <c r="H255" s="48">
        <v>29915700</v>
      </c>
      <c r="I255" s="48">
        <v>29915700</v>
      </c>
    </row>
    <row r="256" spans="1:9" s="95" customFormat="1" x14ac:dyDescent="0.25">
      <c r="A256" s="28" t="s">
        <v>206</v>
      </c>
      <c r="B256" s="43">
        <v>701</v>
      </c>
      <c r="C256" s="47" t="s">
        <v>352</v>
      </c>
      <c r="D256" s="47" t="s">
        <v>305</v>
      </c>
      <c r="E256" s="83" t="s">
        <v>207</v>
      </c>
      <c r="F256" s="43"/>
      <c r="G256" s="50">
        <v>39813998.469999999</v>
      </c>
      <c r="H256" s="50">
        <v>29915700</v>
      </c>
      <c r="I256" s="50">
        <v>29915700</v>
      </c>
    </row>
    <row r="257" spans="1:9" s="95" customFormat="1" x14ac:dyDescent="0.25">
      <c r="A257" s="25" t="s">
        <v>191</v>
      </c>
      <c r="B257" s="43">
        <v>701</v>
      </c>
      <c r="C257" s="49" t="s">
        <v>352</v>
      </c>
      <c r="D257" s="49" t="s">
        <v>305</v>
      </c>
      <c r="E257" s="84" t="s">
        <v>208</v>
      </c>
      <c r="F257" s="40"/>
      <c r="G257" s="50">
        <v>39813998.469999999</v>
      </c>
      <c r="H257" s="50">
        <v>29915700</v>
      </c>
      <c r="I257" s="50">
        <v>29915700</v>
      </c>
    </row>
    <row r="258" spans="1:9" s="94" customFormat="1" ht="75.75" x14ac:dyDescent="0.25">
      <c r="A258" s="25" t="s">
        <v>193</v>
      </c>
      <c r="B258" s="43">
        <v>701</v>
      </c>
      <c r="C258" s="49" t="s">
        <v>352</v>
      </c>
      <c r="D258" s="49" t="s">
        <v>305</v>
      </c>
      <c r="E258" s="84" t="s">
        <v>208</v>
      </c>
      <c r="F258" s="40">
        <v>100</v>
      </c>
      <c r="G258" s="51">
        <v>22877053.559999999</v>
      </c>
      <c r="H258" s="51">
        <v>22773700</v>
      </c>
      <c r="I258" s="51">
        <v>22773700</v>
      </c>
    </row>
    <row r="259" spans="1:9" s="99" customFormat="1" ht="30.75" x14ac:dyDescent="0.25">
      <c r="A259" s="26" t="s">
        <v>194</v>
      </c>
      <c r="B259" s="43">
        <v>701</v>
      </c>
      <c r="C259" s="49" t="s">
        <v>352</v>
      </c>
      <c r="D259" s="49" t="s">
        <v>305</v>
      </c>
      <c r="E259" s="84" t="s">
        <v>208</v>
      </c>
      <c r="F259" s="40">
        <v>200</v>
      </c>
      <c r="G259" s="51">
        <v>5556500</v>
      </c>
      <c r="H259" s="51">
        <v>7131700</v>
      </c>
      <c r="I259" s="51">
        <v>7131700</v>
      </c>
    </row>
    <row r="260" spans="1:9" s="99" customFormat="1" x14ac:dyDescent="0.25">
      <c r="A260" s="26" t="s">
        <v>195</v>
      </c>
      <c r="B260" s="43">
        <v>701</v>
      </c>
      <c r="C260" s="49" t="s">
        <v>352</v>
      </c>
      <c r="D260" s="49" t="s">
        <v>305</v>
      </c>
      <c r="E260" s="84" t="s">
        <v>208</v>
      </c>
      <c r="F260" s="40">
        <v>300</v>
      </c>
      <c r="G260" s="51">
        <v>335677.91</v>
      </c>
      <c r="H260" s="51">
        <v>0</v>
      </c>
      <c r="I260" s="51">
        <v>0</v>
      </c>
    </row>
    <row r="261" spans="1:9" s="94" customFormat="1" x14ac:dyDescent="0.25">
      <c r="A261" s="25" t="s">
        <v>196</v>
      </c>
      <c r="B261" s="43">
        <v>701</v>
      </c>
      <c r="C261" s="49" t="s">
        <v>352</v>
      </c>
      <c r="D261" s="49" t="s">
        <v>305</v>
      </c>
      <c r="E261" s="84" t="s">
        <v>208</v>
      </c>
      <c r="F261" s="40">
        <v>800</v>
      </c>
      <c r="G261" s="51">
        <v>11044767</v>
      </c>
      <c r="H261" s="51">
        <v>10300</v>
      </c>
      <c r="I261" s="51">
        <v>10300</v>
      </c>
    </row>
    <row r="262" spans="1:9" s="94" customFormat="1" x14ac:dyDescent="0.25">
      <c r="A262" s="28" t="s">
        <v>354</v>
      </c>
      <c r="B262" s="43">
        <v>701</v>
      </c>
      <c r="C262" s="47" t="s">
        <v>350</v>
      </c>
      <c r="D262" s="47"/>
      <c r="E262" s="83"/>
      <c r="F262" s="43"/>
      <c r="G262" s="53">
        <v>35987448.380000003</v>
      </c>
      <c r="H262" s="53">
        <v>0</v>
      </c>
      <c r="I262" s="53">
        <v>0</v>
      </c>
    </row>
    <row r="263" spans="1:9" s="94" customFormat="1" x14ac:dyDescent="0.25">
      <c r="A263" s="28" t="s">
        <v>355</v>
      </c>
      <c r="B263" s="43">
        <v>701</v>
      </c>
      <c r="C263" s="47" t="s">
        <v>350</v>
      </c>
      <c r="D263" s="47" t="s">
        <v>350</v>
      </c>
      <c r="E263" s="83"/>
      <c r="F263" s="43"/>
      <c r="G263" s="53">
        <v>35987448.380000003</v>
      </c>
      <c r="H263" s="53">
        <v>0</v>
      </c>
      <c r="I263" s="53">
        <v>0</v>
      </c>
    </row>
    <row r="264" spans="1:9" s="94" customFormat="1" x14ac:dyDescent="0.25">
      <c r="A264" s="30" t="s">
        <v>278</v>
      </c>
      <c r="B264" s="43">
        <v>701</v>
      </c>
      <c r="C264" s="47" t="s">
        <v>350</v>
      </c>
      <c r="D264" s="47" t="s">
        <v>350</v>
      </c>
      <c r="E264" s="85">
        <v>1300000000</v>
      </c>
      <c r="F264" s="85"/>
      <c r="G264" s="51">
        <v>35987448.380000003</v>
      </c>
      <c r="H264" s="51">
        <v>0</v>
      </c>
      <c r="I264" s="51">
        <v>0</v>
      </c>
    </row>
    <row r="265" spans="1:9" s="95" customFormat="1" ht="45.75" x14ac:dyDescent="0.25">
      <c r="A265" s="100" t="s">
        <v>279</v>
      </c>
      <c r="B265" s="43">
        <v>701</v>
      </c>
      <c r="C265" s="49" t="s">
        <v>350</v>
      </c>
      <c r="D265" s="49" t="s">
        <v>350</v>
      </c>
      <c r="E265" s="67">
        <v>1320000000</v>
      </c>
      <c r="F265" s="67"/>
      <c r="G265" s="51">
        <v>35987448.380000003</v>
      </c>
      <c r="H265" s="51">
        <v>0</v>
      </c>
      <c r="I265" s="51">
        <v>0</v>
      </c>
    </row>
    <row r="266" spans="1:9" s="95" customFormat="1" ht="30.75" x14ac:dyDescent="0.25">
      <c r="A266" s="26" t="s">
        <v>194</v>
      </c>
      <c r="B266" s="43">
        <v>701</v>
      </c>
      <c r="C266" s="49" t="s">
        <v>350</v>
      </c>
      <c r="D266" s="49" t="s">
        <v>350</v>
      </c>
      <c r="E266" s="67">
        <v>1320000000</v>
      </c>
      <c r="F266" s="67">
        <v>200</v>
      </c>
      <c r="G266" s="51">
        <v>35987448.380000003</v>
      </c>
      <c r="H266" s="51">
        <v>0</v>
      </c>
      <c r="I266" s="51">
        <v>0</v>
      </c>
    </row>
    <row r="267" spans="1:9" s="95" customFormat="1" hidden="1" x14ac:dyDescent="0.25">
      <c r="A267" s="30" t="s">
        <v>294</v>
      </c>
      <c r="B267" s="43">
        <v>701</v>
      </c>
      <c r="C267" s="47" t="s">
        <v>350</v>
      </c>
      <c r="D267" s="47" t="s">
        <v>350</v>
      </c>
      <c r="E267" s="47" t="s">
        <v>295</v>
      </c>
      <c r="F267" s="67"/>
      <c r="G267" s="53">
        <v>0</v>
      </c>
      <c r="H267" s="53">
        <v>0</v>
      </c>
      <c r="I267" s="53">
        <v>0</v>
      </c>
    </row>
    <row r="268" spans="1:9" s="95" customFormat="1" hidden="1" x14ac:dyDescent="0.25">
      <c r="A268" s="26" t="s">
        <v>314</v>
      </c>
      <c r="B268" s="43">
        <v>701</v>
      </c>
      <c r="C268" s="49" t="s">
        <v>350</v>
      </c>
      <c r="D268" s="49" t="s">
        <v>350</v>
      </c>
      <c r="E268" s="49" t="s">
        <v>315</v>
      </c>
      <c r="F268" s="67"/>
      <c r="G268" s="51">
        <v>0</v>
      </c>
      <c r="H268" s="51">
        <v>0</v>
      </c>
      <c r="I268" s="51">
        <v>0</v>
      </c>
    </row>
    <row r="269" spans="1:9" s="95" customFormat="1" ht="30.75" hidden="1" x14ac:dyDescent="0.25">
      <c r="A269" s="26" t="s">
        <v>194</v>
      </c>
      <c r="B269" s="43">
        <v>701</v>
      </c>
      <c r="C269" s="49" t="s">
        <v>350</v>
      </c>
      <c r="D269" s="49" t="s">
        <v>350</v>
      </c>
      <c r="E269" s="49" t="s">
        <v>315</v>
      </c>
      <c r="F269" s="67">
        <v>200</v>
      </c>
      <c r="G269" s="51">
        <v>0</v>
      </c>
      <c r="H269" s="51">
        <v>0</v>
      </c>
      <c r="I269" s="51">
        <v>0</v>
      </c>
    </row>
    <row r="270" spans="1:9" s="94" customFormat="1" x14ac:dyDescent="0.25">
      <c r="A270" s="30" t="s">
        <v>356</v>
      </c>
      <c r="B270" s="43">
        <v>701</v>
      </c>
      <c r="C270" s="47" t="s">
        <v>328</v>
      </c>
      <c r="D270" s="47"/>
      <c r="E270" s="47"/>
      <c r="F270" s="47"/>
      <c r="G270" s="48">
        <v>129942607.14999999</v>
      </c>
      <c r="H270" s="48">
        <v>100837436.25999999</v>
      </c>
      <c r="I270" s="48">
        <v>100645905.00999999</v>
      </c>
    </row>
    <row r="271" spans="1:9" s="94" customFormat="1" x14ac:dyDescent="0.25">
      <c r="A271" s="30" t="s">
        <v>357</v>
      </c>
      <c r="B271" s="43">
        <v>701</v>
      </c>
      <c r="C271" s="47" t="s">
        <v>328</v>
      </c>
      <c r="D271" s="47" t="s">
        <v>291</v>
      </c>
      <c r="E271" s="47"/>
      <c r="F271" s="47"/>
      <c r="G271" s="48">
        <v>9396948.6799999997</v>
      </c>
      <c r="H271" s="48">
        <v>8199922</v>
      </c>
      <c r="I271" s="48">
        <v>8095922</v>
      </c>
    </row>
    <row r="272" spans="1:9" s="95" customFormat="1" x14ac:dyDescent="0.25">
      <c r="A272" s="30" t="s">
        <v>242</v>
      </c>
      <c r="B272" s="43">
        <v>701</v>
      </c>
      <c r="C272" s="47" t="s">
        <v>328</v>
      </c>
      <c r="D272" s="47" t="s">
        <v>291</v>
      </c>
      <c r="E272" s="47" t="s">
        <v>243</v>
      </c>
      <c r="F272" s="47"/>
      <c r="G272" s="48">
        <v>5004552</v>
      </c>
      <c r="H272" s="48">
        <v>4327000</v>
      </c>
      <c r="I272" s="48">
        <v>4223000</v>
      </c>
    </row>
    <row r="273" spans="1:9" s="95" customFormat="1" ht="30.75" x14ac:dyDescent="0.25">
      <c r="A273" s="26" t="s">
        <v>244</v>
      </c>
      <c r="B273" s="43">
        <v>701</v>
      </c>
      <c r="C273" s="49" t="s">
        <v>328</v>
      </c>
      <c r="D273" s="49" t="s">
        <v>291</v>
      </c>
      <c r="E273" s="49" t="s">
        <v>245</v>
      </c>
      <c r="F273" s="49"/>
      <c r="G273" s="50">
        <v>5004552</v>
      </c>
      <c r="H273" s="50">
        <v>4327000</v>
      </c>
      <c r="I273" s="50">
        <v>4223000</v>
      </c>
    </row>
    <row r="274" spans="1:9" s="95" customFormat="1" x14ac:dyDescent="0.25">
      <c r="A274" s="26" t="s">
        <v>195</v>
      </c>
      <c r="B274" s="43">
        <v>701</v>
      </c>
      <c r="C274" s="49" t="s">
        <v>328</v>
      </c>
      <c r="D274" s="49" t="s">
        <v>291</v>
      </c>
      <c r="E274" s="49" t="s">
        <v>245</v>
      </c>
      <c r="F274" s="49" t="s">
        <v>246</v>
      </c>
      <c r="G274" s="50">
        <v>5004552</v>
      </c>
      <c r="H274" s="50">
        <v>4327000</v>
      </c>
      <c r="I274" s="50">
        <v>4223000</v>
      </c>
    </row>
    <row r="275" spans="1:9" s="94" customFormat="1" x14ac:dyDescent="0.25">
      <c r="A275" s="30" t="s">
        <v>294</v>
      </c>
      <c r="B275" s="43">
        <v>701</v>
      </c>
      <c r="C275" s="47" t="s">
        <v>328</v>
      </c>
      <c r="D275" s="47" t="s">
        <v>291</v>
      </c>
      <c r="E275" s="47" t="s">
        <v>295</v>
      </c>
      <c r="F275" s="47"/>
      <c r="G275" s="48">
        <v>4392396.68</v>
      </c>
      <c r="H275" s="48">
        <v>3872922</v>
      </c>
      <c r="I275" s="48">
        <v>3872922</v>
      </c>
    </row>
    <row r="276" spans="1:9" s="95" customFormat="1" x14ac:dyDescent="0.25">
      <c r="A276" s="26" t="s">
        <v>314</v>
      </c>
      <c r="B276" s="43">
        <v>701</v>
      </c>
      <c r="C276" s="49" t="s">
        <v>328</v>
      </c>
      <c r="D276" s="49" t="s">
        <v>291</v>
      </c>
      <c r="E276" s="49" t="s">
        <v>315</v>
      </c>
      <c r="F276" s="49"/>
      <c r="G276" s="50">
        <v>4392396.68</v>
      </c>
      <c r="H276" s="50">
        <v>3872922</v>
      </c>
      <c r="I276" s="50">
        <v>3872922</v>
      </c>
    </row>
    <row r="277" spans="1:9" s="94" customFormat="1" x14ac:dyDescent="0.25">
      <c r="A277" s="26" t="s">
        <v>195</v>
      </c>
      <c r="B277" s="43">
        <v>701</v>
      </c>
      <c r="C277" s="49" t="s">
        <v>328</v>
      </c>
      <c r="D277" s="49" t="s">
        <v>291</v>
      </c>
      <c r="E277" s="49" t="s">
        <v>315</v>
      </c>
      <c r="F277" s="49" t="s">
        <v>246</v>
      </c>
      <c r="G277" s="50">
        <v>4392396.68</v>
      </c>
      <c r="H277" s="50">
        <v>3872922</v>
      </c>
      <c r="I277" s="50">
        <v>3872922</v>
      </c>
    </row>
    <row r="278" spans="1:9" s="94" customFormat="1" x14ac:dyDescent="0.25">
      <c r="A278" s="30" t="s">
        <v>358</v>
      </c>
      <c r="B278" s="43">
        <v>701</v>
      </c>
      <c r="C278" s="47" t="s">
        <v>328</v>
      </c>
      <c r="D278" s="47" t="s">
        <v>301</v>
      </c>
      <c r="E278" s="47"/>
      <c r="F278" s="47"/>
      <c r="G278" s="48">
        <v>61926706.989999995</v>
      </c>
      <c r="H278" s="48">
        <v>36900000</v>
      </c>
      <c r="I278" s="48">
        <v>36900000</v>
      </c>
    </row>
    <row r="279" spans="1:9" s="94" customFormat="1" ht="47.25" x14ac:dyDescent="0.25">
      <c r="A279" s="30" t="s">
        <v>249</v>
      </c>
      <c r="B279" s="43">
        <v>701</v>
      </c>
      <c r="C279" s="47" t="s">
        <v>328</v>
      </c>
      <c r="D279" s="47" t="s">
        <v>301</v>
      </c>
      <c r="E279" s="47" t="s">
        <v>250</v>
      </c>
      <c r="F279" s="47"/>
      <c r="G279" s="48">
        <v>26099994.999999996</v>
      </c>
      <c r="H279" s="48">
        <v>30900000</v>
      </c>
      <c r="I279" s="48">
        <v>30900000</v>
      </c>
    </row>
    <row r="280" spans="1:9" s="80" customFormat="1" ht="30.75" x14ac:dyDescent="0.25">
      <c r="A280" s="26" t="s">
        <v>253</v>
      </c>
      <c r="B280" s="43">
        <v>701</v>
      </c>
      <c r="C280" s="49" t="s">
        <v>328</v>
      </c>
      <c r="D280" s="49" t="s">
        <v>301</v>
      </c>
      <c r="E280" s="49" t="s">
        <v>254</v>
      </c>
      <c r="F280" s="49"/>
      <c r="G280" s="50">
        <v>26099994.999999996</v>
      </c>
      <c r="H280" s="50">
        <v>30900000</v>
      </c>
      <c r="I280" s="50">
        <v>30900000</v>
      </c>
    </row>
    <row r="281" spans="1:9" s="80" customFormat="1" x14ac:dyDescent="0.25">
      <c r="A281" s="26" t="s">
        <v>195</v>
      </c>
      <c r="B281" s="43">
        <v>701</v>
      </c>
      <c r="C281" s="49" t="s">
        <v>328</v>
      </c>
      <c r="D281" s="49" t="s">
        <v>301</v>
      </c>
      <c r="E281" s="49" t="s">
        <v>254</v>
      </c>
      <c r="F281" s="49" t="s">
        <v>246</v>
      </c>
      <c r="G281" s="50">
        <v>10699994.999999996</v>
      </c>
      <c r="H281" s="50">
        <v>15300000</v>
      </c>
      <c r="I281" s="50">
        <v>15300000</v>
      </c>
    </row>
    <row r="282" spans="1:9" s="80" customFormat="1" ht="30.75" x14ac:dyDescent="0.25">
      <c r="A282" s="26" t="s">
        <v>214</v>
      </c>
      <c r="B282" s="43">
        <v>701</v>
      </c>
      <c r="C282" s="49" t="s">
        <v>328</v>
      </c>
      <c r="D282" s="49" t="s">
        <v>301</v>
      </c>
      <c r="E282" s="49" t="s">
        <v>254</v>
      </c>
      <c r="F282" s="49" t="s">
        <v>255</v>
      </c>
      <c r="G282" s="50">
        <v>15400000</v>
      </c>
      <c r="H282" s="50">
        <v>15600000</v>
      </c>
      <c r="I282" s="50">
        <v>15600000</v>
      </c>
    </row>
    <row r="283" spans="1:9" s="82" customFormat="1" ht="31.5" x14ac:dyDescent="0.25">
      <c r="A283" s="28" t="s">
        <v>274</v>
      </c>
      <c r="B283" s="43">
        <v>701</v>
      </c>
      <c r="C283" s="47" t="s">
        <v>328</v>
      </c>
      <c r="D283" s="47" t="s">
        <v>301</v>
      </c>
      <c r="E283" s="47" t="s">
        <v>403</v>
      </c>
      <c r="F283" s="47"/>
      <c r="G283" s="48">
        <v>6000000</v>
      </c>
      <c r="H283" s="48">
        <v>6000000</v>
      </c>
      <c r="I283" s="48">
        <v>6000000</v>
      </c>
    </row>
    <row r="284" spans="1:9" s="80" customFormat="1" x14ac:dyDescent="0.25">
      <c r="A284" s="25" t="s">
        <v>275</v>
      </c>
      <c r="B284" s="43">
        <v>701</v>
      </c>
      <c r="C284" s="49" t="s">
        <v>328</v>
      </c>
      <c r="D284" s="49" t="s">
        <v>301</v>
      </c>
      <c r="E284" s="49" t="s">
        <v>404</v>
      </c>
      <c r="F284" s="49"/>
      <c r="G284" s="50">
        <v>6000000</v>
      </c>
      <c r="H284" s="50">
        <v>6000000</v>
      </c>
      <c r="I284" s="50">
        <v>6000000</v>
      </c>
    </row>
    <row r="285" spans="1:9" s="80" customFormat="1" ht="30.75" x14ac:dyDescent="0.25">
      <c r="A285" s="25" t="s">
        <v>194</v>
      </c>
      <c r="B285" s="43">
        <v>701</v>
      </c>
      <c r="C285" s="49" t="s">
        <v>328</v>
      </c>
      <c r="D285" s="49" t="s">
        <v>301</v>
      </c>
      <c r="E285" s="49" t="s">
        <v>404</v>
      </c>
      <c r="F285" s="49" t="s">
        <v>241</v>
      </c>
      <c r="G285" s="50">
        <v>300000</v>
      </c>
      <c r="H285" s="50">
        <v>300000</v>
      </c>
      <c r="I285" s="50">
        <v>300000</v>
      </c>
    </row>
    <row r="286" spans="1:9" s="80" customFormat="1" ht="30.75" x14ac:dyDescent="0.25">
      <c r="A286" s="25" t="s">
        <v>201</v>
      </c>
      <c r="B286" s="43">
        <v>701</v>
      </c>
      <c r="C286" s="49" t="s">
        <v>328</v>
      </c>
      <c r="D286" s="49" t="s">
        <v>301</v>
      </c>
      <c r="E286" s="49" t="s">
        <v>404</v>
      </c>
      <c r="F286" s="49" t="s">
        <v>321</v>
      </c>
      <c r="G286" s="50">
        <v>5700000</v>
      </c>
      <c r="H286" s="50">
        <v>5700000</v>
      </c>
      <c r="I286" s="50">
        <v>5700000</v>
      </c>
    </row>
    <row r="287" spans="1:9" s="80" customFormat="1" x14ac:dyDescent="0.25">
      <c r="A287" s="30" t="s">
        <v>294</v>
      </c>
      <c r="B287" s="43">
        <v>701</v>
      </c>
      <c r="C287" s="47" t="s">
        <v>328</v>
      </c>
      <c r="D287" s="47" t="s">
        <v>301</v>
      </c>
      <c r="E287" s="47" t="s">
        <v>315</v>
      </c>
      <c r="F287" s="47"/>
      <c r="G287" s="48">
        <v>29826711.990000002</v>
      </c>
      <c r="H287" s="48">
        <v>0</v>
      </c>
      <c r="I287" s="48">
        <v>0</v>
      </c>
    </row>
    <row r="288" spans="1:9" s="80" customFormat="1" x14ac:dyDescent="0.25">
      <c r="A288" s="26" t="s">
        <v>314</v>
      </c>
      <c r="B288" s="43">
        <v>701</v>
      </c>
      <c r="C288" s="49" t="s">
        <v>328</v>
      </c>
      <c r="D288" s="49" t="s">
        <v>301</v>
      </c>
      <c r="E288" s="49" t="s">
        <v>315</v>
      </c>
      <c r="F288" s="49"/>
      <c r="G288" s="50">
        <v>29826711.990000002</v>
      </c>
      <c r="H288" s="50">
        <v>0</v>
      </c>
      <c r="I288" s="50">
        <v>0</v>
      </c>
    </row>
    <row r="289" spans="1:11" s="80" customFormat="1" ht="30.75" x14ac:dyDescent="0.25">
      <c r="A289" s="25" t="s">
        <v>194</v>
      </c>
      <c r="B289" s="43">
        <v>701</v>
      </c>
      <c r="C289" s="49" t="s">
        <v>328</v>
      </c>
      <c r="D289" s="49" t="s">
        <v>301</v>
      </c>
      <c r="E289" s="49" t="s">
        <v>315</v>
      </c>
      <c r="F289" s="49" t="s">
        <v>241</v>
      </c>
      <c r="G289" s="50">
        <v>3050171.99</v>
      </c>
      <c r="H289" s="50">
        <v>0</v>
      </c>
      <c r="I289" s="50">
        <v>0</v>
      </c>
    </row>
    <row r="290" spans="1:11" s="80" customFormat="1" ht="30.75" x14ac:dyDescent="0.25">
      <c r="A290" s="26" t="s">
        <v>214</v>
      </c>
      <c r="B290" s="43">
        <v>701</v>
      </c>
      <c r="C290" s="49" t="s">
        <v>328</v>
      </c>
      <c r="D290" s="49" t="s">
        <v>301</v>
      </c>
      <c r="E290" s="49" t="s">
        <v>315</v>
      </c>
      <c r="F290" s="49" t="s">
        <v>255</v>
      </c>
      <c r="G290" s="50">
        <v>26776540</v>
      </c>
      <c r="H290" s="50">
        <v>0</v>
      </c>
      <c r="I290" s="50">
        <v>0</v>
      </c>
    </row>
    <row r="291" spans="1:11" s="23" customFormat="1" x14ac:dyDescent="0.25">
      <c r="A291" s="30" t="s">
        <v>361</v>
      </c>
      <c r="B291" s="43">
        <v>701</v>
      </c>
      <c r="C291" s="47" t="s">
        <v>328</v>
      </c>
      <c r="D291" s="47" t="s">
        <v>305</v>
      </c>
      <c r="E291" s="47"/>
      <c r="F291" s="47"/>
      <c r="G291" s="48">
        <v>44264855.890000001</v>
      </c>
      <c r="H291" s="48">
        <v>43600711.129999995</v>
      </c>
      <c r="I291" s="48">
        <v>43600711.129999995</v>
      </c>
      <c r="K291" s="24"/>
    </row>
    <row r="292" spans="1:11" ht="47.25" x14ac:dyDescent="0.25">
      <c r="A292" s="28" t="s">
        <v>405</v>
      </c>
      <c r="B292" s="43">
        <v>701</v>
      </c>
      <c r="C292" s="47" t="s">
        <v>328</v>
      </c>
      <c r="D292" s="47" t="s">
        <v>305</v>
      </c>
      <c r="E292" s="83" t="s">
        <v>232</v>
      </c>
      <c r="F292" s="47"/>
      <c r="G292" s="48">
        <v>2193113.77</v>
      </c>
      <c r="H292" s="48">
        <v>2233711.13</v>
      </c>
      <c r="I292" s="48">
        <v>2233711.13</v>
      </c>
    </row>
    <row r="293" spans="1:11" x14ac:dyDescent="0.25">
      <c r="A293" s="26" t="s">
        <v>238</v>
      </c>
      <c r="B293" s="43">
        <v>701</v>
      </c>
      <c r="C293" s="49" t="s">
        <v>328</v>
      </c>
      <c r="D293" s="49" t="s">
        <v>305</v>
      </c>
      <c r="E293" s="84" t="s">
        <v>239</v>
      </c>
      <c r="F293" s="49"/>
      <c r="G293" s="50">
        <v>2193113.77</v>
      </c>
      <c r="H293" s="50">
        <v>2233711.13</v>
      </c>
      <c r="I293" s="50">
        <v>2233711.13</v>
      </c>
    </row>
    <row r="294" spans="1:11" ht="30.75" x14ac:dyDescent="0.25">
      <c r="A294" s="26" t="s">
        <v>194</v>
      </c>
      <c r="B294" s="43">
        <v>701</v>
      </c>
      <c r="C294" s="49" t="s">
        <v>328</v>
      </c>
      <c r="D294" s="49" t="s">
        <v>305</v>
      </c>
      <c r="E294" s="84" t="s">
        <v>239</v>
      </c>
      <c r="F294" s="49" t="s">
        <v>241</v>
      </c>
      <c r="G294" s="50">
        <v>1483344.77</v>
      </c>
      <c r="H294" s="50">
        <v>1358999.13</v>
      </c>
      <c r="I294" s="50">
        <v>1358999.13</v>
      </c>
    </row>
    <row r="295" spans="1:11" x14ac:dyDescent="0.25">
      <c r="A295" s="26" t="s">
        <v>195</v>
      </c>
      <c r="B295" s="43">
        <v>701</v>
      </c>
      <c r="C295" s="49" t="s">
        <v>328</v>
      </c>
      <c r="D295" s="49" t="s">
        <v>305</v>
      </c>
      <c r="E295" s="84" t="s">
        <v>239</v>
      </c>
      <c r="F295" s="49" t="s">
        <v>246</v>
      </c>
      <c r="G295" s="50">
        <v>709769</v>
      </c>
      <c r="H295" s="50">
        <v>874712</v>
      </c>
      <c r="I295" s="50">
        <v>874712</v>
      </c>
    </row>
    <row r="296" spans="1:11" x14ac:dyDescent="0.25">
      <c r="A296" s="30" t="s">
        <v>242</v>
      </c>
      <c r="B296" s="43">
        <v>701</v>
      </c>
      <c r="C296" s="47" t="s">
        <v>328</v>
      </c>
      <c r="D296" s="47" t="s">
        <v>305</v>
      </c>
      <c r="E296" s="47" t="s">
        <v>243</v>
      </c>
      <c r="F296" s="47"/>
      <c r="G296" s="48">
        <v>1932830</v>
      </c>
      <c r="H296" s="48">
        <v>2067000</v>
      </c>
      <c r="I296" s="48">
        <v>2067000</v>
      </c>
    </row>
    <row r="297" spans="1:11" ht="30.75" x14ac:dyDescent="0.25">
      <c r="A297" s="26" t="s">
        <v>244</v>
      </c>
      <c r="B297" s="43">
        <v>701</v>
      </c>
      <c r="C297" s="49" t="s">
        <v>328</v>
      </c>
      <c r="D297" s="49" t="s">
        <v>305</v>
      </c>
      <c r="E297" s="49" t="s">
        <v>245</v>
      </c>
      <c r="F297" s="49"/>
      <c r="G297" s="50">
        <v>1932830</v>
      </c>
      <c r="H297" s="50">
        <v>2067000</v>
      </c>
      <c r="I297" s="50">
        <v>2067000</v>
      </c>
    </row>
    <row r="298" spans="1:11" ht="30.75" x14ac:dyDescent="0.25">
      <c r="A298" s="26" t="s">
        <v>194</v>
      </c>
      <c r="B298" s="43">
        <v>701</v>
      </c>
      <c r="C298" s="49" t="s">
        <v>328</v>
      </c>
      <c r="D298" s="49" t="s">
        <v>305</v>
      </c>
      <c r="E298" s="49" t="s">
        <v>245</v>
      </c>
      <c r="F298" s="49" t="s">
        <v>241</v>
      </c>
      <c r="G298" s="50">
        <v>194000</v>
      </c>
      <c r="H298" s="50">
        <v>194000</v>
      </c>
      <c r="I298" s="50">
        <v>194000</v>
      </c>
    </row>
    <row r="299" spans="1:11" x14ac:dyDescent="0.25">
      <c r="A299" s="26" t="s">
        <v>195</v>
      </c>
      <c r="B299" s="43">
        <v>701</v>
      </c>
      <c r="C299" s="49" t="s">
        <v>328</v>
      </c>
      <c r="D299" s="49" t="s">
        <v>305</v>
      </c>
      <c r="E299" s="49" t="s">
        <v>245</v>
      </c>
      <c r="F299" s="49" t="s">
        <v>246</v>
      </c>
      <c r="G299" s="50">
        <v>1738830</v>
      </c>
      <c r="H299" s="50">
        <v>1873000</v>
      </c>
      <c r="I299" s="50">
        <v>1873000</v>
      </c>
    </row>
    <row r="300" spans="1:11" ht="47.25" x14ac:dyDescent="0.25">
      <c r="A300" s="30" t="s">
        <v>249</v>
      </c>
      <c r="B300" s="43">
        <v>701</v>
      </c>
      <c r="C300" s="47" t="s">
        <v>328</v>
      </c>
      <c r="D300" s="47" t="s">
        <v>305</v>
      </c>
      <c r="E300" s="47" t="s">
        <v>250</v>
      </c>
      <c r="F300" s="47"/>
      <c r="G300" s="48">
        <v>23973312.120000001</v>
      </c>
      <c r="H300" s="48">
        <v>25800000</v>
      </c>
      <c r="I300" s="48">
        <v>25800000</v>
      </c>
    </row>
    <row r="301" spans="1:11" ht="30.75" x14ac:dyDescent="0.25">
      <c r="A301" s="26" t="s">
        <v>253</v>
      </c>
      <c r="B301" s="43">
        <v>701</v>
      </c>
      <c r="C301" s="49" t="s">
        <v>328</v>
      </c>
      <c r="D301" s="49" t="s">
        <v>305</v>
      </c>
      <c r="E301" s="49" t="s">
        <v>254</v>
      </c>
      <c r="F301" s="49"/>
      <c r="G301" s="50">
        <v>23973312.120000001</v>
      </c>
      <c r="H301" s="50">
        <v>25800000</v>
      </c>
      <c r="I301" s="50">
        <v>25800000</v>
      </c>
    </row>
    <row r="302" spans="1:11" x14ac:dyDescent="0.25">
      <c r="A302" s="26" t="s">
        <v>195</v>
      </c>
      <c r="B302" s="43">
        <v>701</v>
      </c>
      <c r="C302" s="49" t="s">
        <v>328</v>
      </c>
      <c r="D302" s="49" t="s">
        <v>305</v>
      </c>
      <c r="E302" s="49" t="s">
        <v>254</v>
      </c>
      <c r="F302" s="49" t="s">
        <v>246</v>
      </c>
      <c r="G302" s="50">
        <v>23973312.120000001</v>
      </c>
      <c r="H302" s="50">
        <v>25800000</v>
      </c>
      <c r="I302" s="50">
        <v>25800000</v>
      </c>
    </row>
    <row r="303" spans="1:11" x14ac:dyDescent="0.25">
      <c r="A303" s="30" t="s">
        <v>294</v>
      </c>
      <c r="B303" s="43">
        <v>701</v>
      </c>
      <c r="C303" s="47" t="s">
        <v>328</v>
      </c>
      <c r="D303" s="47" t="s">
        <v>305</v>
      </c>
      <c r="E303" s="47" t="s">
        <v>295</v>
      </c>
      <c r="F303" s="47"/>
      <c r="G303" s="48">
        <v>16165600</v>
      </c>
      <c r="H303" s="48">
        <v>13500000</v>
      </c>
      <c r="I303" s="48">
        <v>13500000</v>
      </c>
      <c r="K303" s="20"/>
    </row>
    <row r="304" spans="1:11" x14ac:dyDescent="0.25">
      <c r="A304" s="26" t="s">
        <v>314</v>
      </c>
      <c r="B304" s="43">
        <v>701</v>
      </c>
      <c r="C304" s="49" t="s">
        <v>328</v>
      </c>
      <c r="D304" s="49" t="s">
        <v>305</v>
      </c>
      <c r="E304" s="49" t="s">
        <v>315</v>
      </c>
      <c r="F304" s="49"/>
      <c r="G304" s="50">
        <v>16165600</v>
      </c>
      <c r="H304" s="50">
        <v>13500000</v>
      </c>
      <c r="I304" s="50">
        <v>13500000</v>
      </c>
    </row>
    <row r="305" spans="1:9" ht="30.75" x14ac:dyDescent="0.25">
      <c r="A305" s="26" t="s">
        <v>194</v>
      </c>
      <c r="B305" s="43">
        <v>701</v>
      </c>
      <c r="C305" s="49" t="s">
        <v>328</v>
      </c>
      <c r="D305" s="49" t="s">
        <v>305</v>
      </c>
      <c r="E305" s="49" t="s">
        <v>315</v>
      </c>
      <c r="F305" s="49" t="s">
        <v>241</v>
      </c>
      <c r="G305" s="50">
        <v>197734</v>
      </c>
      <c r="H305" s="50">
        <v>197734</v>
      </c>
      <c r="I305" s="50">
        <v>197734</v>
      </c>
    </row>
    <row r="306" spans="1:9" x14ac:dyDescent="0.25">
      <c r="A306" s="26" t="s">
        <v>195</v>
      </c>
      <c r="B306" s="43">
        <v>701</v>
      </c>
      <c r="C306" s="49" t="s">
        <v>328</v>
      </c>
      <c r="D306" s="49" t="s">
        <v>305</v>
      </c>
      <c r="E306" s="49" t="s">
        <v>315</v>
      </c>
      <c r="F306" s="49" t="s">
        <v>246</v>
      </c>
      <c r="G306" s="50">
        <v>13302266</v>
      </c>
      <c r="H306" s="50">
        <v>13302266</v>
      </c>
      <c r="I306" s="50">
        <v>13302266</v>
      </c>
    </row>
    <row r="307" spans="1:9" ht="30.75" x14ac:dyDescent="0.25">
      <c r="A307" s="26" t="s">
        <v>214</v>
      </c>
      <c r="B307" s="43">
        <v>701</v>
      </c>
      <c r="C307" s="49" t="s">
        <v>328</v>
      </c>
      <c r="D307" s="49" t="s">
        <v>305</v>
      </c>
      <c r="E307" s="49" t="s">
        <v>315</v>
      </c>
      <c r="F307" s="49" t="s">
        <v>255</v>
      </c>
      <c r="G307" s="50">
        <v>2665600</v>
      </c>
      <c r="H307" s="50">
        <v>0</v>
      </c>
      <c r="I307" s="50">
        <v>0</v>
      </c>
    </row>
    <row r="308" spans="1:9" s="23" customFormat="1" x14ac:dyDescent="0.25">
      <c r="A308" s="30" t="s">
        <v>362</v>
      </c>
      <c r="B308" s="43">
        <v>701</v>
      </c>
      <c r="C308" s="47" t="s">
        <v>328</v>
      </c>
      <c r="D308" s="47" t="s">
        <v>309</v>
      </c>
      <c r="E308" s="47"/>
      <c r="F308" s="47"/>
      <c r="G308" s="48">
        <v>14354095.59</v>
      </c>
      <c r="H308" s="48">
        <v>12136803.129999999</v>
      </c>
      <c r="I308" s="48">
        <v>12049271.879999999</v>
      </c>
    </row>
    <row r="309" spans="1:9" x14ac:dyDescent="0.25">
      <c r="A309" s="30" t="s">
        <v>242</v>
      </c>
      <c r="B309" s="43">
        <v>701</v>
      </c>
      <c r="C309" s="47" t="s">
        <v>328</v>
      </c>
      <c r="D309" s="47" t="s">
        <v>309</v>
      </c>
      <c r="E309" s="47" t="s">
        <v>243</v>
      </c>
      <c r="F309" s="47"/>
      <c r="G309" s="48">
        <v>3430483.9</v>
      </c>
      <c r="H309" s="48">
        <v>5167387.0999999996</v>
      </c>
      <c r="I309" s="48">
        <v>5079855.8499999996</v>
      </c>
    </row>
    <row r="310" spans="1:9" ht="30.75" x14ac:dyDescent="0.25">
      <c r="A310" s="26" t="s">
        <v>244</v>
      </c>
      <c r="B310" s="43">
        <v>701</v>
      </c>
      <c r="C310" s="49" t="s">
        <v>328</v>
      </c>
      <c r="D310" s="49" t="s">
        <v>309</v>
      </c>
      <c r="E310" s="49" t="s">
        <v>245</v>
      </c>
      <c r="F310" s="49"/>
      <c r="G310" s="50">
        <v>2438000</v>
      </c>
      <c r="H310" s="50">
        <v>2596000</v>
      </c>
      <c r="I310" s="50">
        <v>2700000</v>
      </c>
    </row>
    <row r="311" spans="1:9" x14ac:dyDescent="0.25">
      <c r="A311" s="26" t="s">
        <v>195</v>
      </c>
      <c r="B311" s="43">
        <v>701</v>
      </c>
      <c r="C311" s="49" t="s">
        <v>328</v>
      </c>
      <c r="D311" s="49" t="s">
        <v>309</v>
      </c>
      <c r="E311" s="49" t="s">
        <v>245</v>
      </c>
      <c r="F311" s="49" t="s">
        <v>246</v>
      </c>
      <c r="G311" s="50">
        <v>2438000</v>
      </c>
      <c r="H311" s="50">
        <v>2596000</v>
      </c>
      <c r="I311" s="50">
        <v>2700000</v>
      </c>
    </row>
    <row r="312" spans="1:9" x14ac:dyDescent="0.25">
      <c r="A312" s="26" t="s">
        <v>247</v>
      </c>
      <c r="B312" s="43">
        <v>701</v>
      </c>
      <c r="C312" s="49" t="s">
        <v>328</v>
      </c>
      <c r="D312" s="49" t="s">
        <v>309</v>
      </c>
      <c r="E312" s="49" t="s">
        <v>248</v>
      </c>
      <c r="F312" s="49"/>
      <c r="G312" s="50">
        <v>992483.89999999991</v>
      </c>
      <c r="H312" s="50">
        <v>2571387.1</v>
      </c>
      <c r="I312" s="50">
        <v>2379855.85</v>
      </c>
    </row>
    <row r="313" spans="1:9" ht="75.75" x14ac:dyDescent="0.25">
      <c r="A313" s="26" t="s">
        <v>193</v>
      </c>
      <c r="B313" s="43">
        <v>701</v>
      </c>
      <c r="C313" s="49" t="s">
        <v>328</v>
      </c>
      <c r="D313" s="49" t="s">
        <v>309</v>
      </c>
      <c r="E313" s="49" t="s">
        <v>248</v>
      </c>
      <c r="F313" s="49" t="s">
        <v>222</v>
      </c>
      <c r="G313" s="50">
        <v>0</v>
      </c>
      <c r="H313" s="50">
        <v>0</v>
      </c>
      <c r="I313" s="50">
        <v>0</v>
      </c>
    </row>
    <row r="314" spans="1:9" ht="30.75" x14ac:dyDescent="0.25">
      <c r="A314" s="26" t="s">
        <v>194</v>
      </c>
      <c r="B314" s="43">
        <v>701</v>
      </c>
      <c r="C314" s="49" t="s">
        <v>328</v>
      </c>
      <c r="D314" s="49" t="s">
        <v>309</v>
      </c>
      <c r="E314" s="49" t="s">
        <v>248</v>
      </c>
      <c r="F314" s="49" t="s">
        <v>241</v>
      </c>
      <c r="G314" s="50">
        <v>992483.89999999991</v>
      </c>
      <c r="H314" s="50">
        <v>2331387.1</v>
      </c>
      <c r="I314" s="50">
        <v>2379855.85</v>
      </c>
    </row>
    <row r="315" spans="1:9" x14ac:dyDescent="0.25">
      <c r="A315" s="26" t="s">
        <v>195</v>
      </c>
      <c r="B315" s="43">
        <v>701</v>
      </c>
      <c r="C315" s="49" t="s">
        <v>328</v>
      </c>
      <c r="D315" s="49" t="s">
        <v>309</v>
      </c>
      <c r="E315" s="49" t="s">
        <v>248</v>
      </c>
      <c r="F315" s="49" t="s">
        <v>246</v>
      </c>
      <c r="G315" s="50">
        <v>0</v>
      </c>
      <c r="H315" s="50">
        <v>240000</v>
      </c>
      <c r="I315" s="50">
        <v>0</v>
      </c>
    </row>
    <row r="316" spans="1:9" ht="31.5" x14ac:dyDescent="0.25">
      <c r="A316" s="30" t="s">
        <v>406</v>
      </c>
      <c r="B316" s="43">
        <v>701</v>
      </c>
      <c r="C316" s="47" t="s">
        <v>328</v>
      </c>
      <c r="D316" s="47" t="s">
        <v>309</v>
      </c>
      <c r="E316" s="47" t="s">
        <v>271</v>
      </c>
      <c r="F316" s="47"/>
      <c r="G316" s="48">
        <v>2995900</v>
      </c>
      <c r="H316" s="48">
        <v>2995900</v>
      </c>
      <c r="I316" s="48">
        <v>2995900</v>
      </c>
    </row>
    <row r="317" spans="1:9" ht="30" x14ac:dyDescent="0.25">
      <c r="A317" s="101" t="s">
        <v>272</v>
      </c>
      <c r="B317" s="43">
        <v>701</v>
      </c>
      <c r="C317" s="49" t="s">
        <v>328</v>
      </c>
      <c r="D317" s="49" t="s">
        <v>309</v>
      </c>
      <c r="E317" s="49" t="s">
        <v>273</v>
      </c>
      <c r="F317" s="49"/>
      <c r="G317" s="50">
        <v>2995900</v>
      </c>
      <c r="H317" s="50">
        <v>2995900</v>
      </c>
      <c r="I317" s="50">
        <v>2995900</v>
      </c>
    </row>
    <row r="318" spans="1:9" ht="75" x14ac:dyDescent="0.25">
      <c r="A318" s="102" t="s">
        <v>193</v>
      </c>
      <c r="B318" s="43">
        <v>701</v>
      </c>
      <c r="C318" s="49" t="s">
        <v>328</v>
      </c>
      <c r="D318" s="49" t="s">
        <v>309</v>
      </c>
      <c r="E318" s="49" t="s">
        <v>273</v>
      </c>
      <c r="F318" s="49" t="s">
        <v>222</v>
      </c>
      <c r="G318" s="50">
        <v>272580</v>
      </c>
      <c r="H318" s="50">
        <v>127200</v>
      </c>
      <c r="I318" s="50">
        <v>127200</v>
      </c>
    </row>
    <row r="319" spans="1:9" ht="30.75" x14ac:dyDescent="0.25">
      <c r="A319" s="26" t="s">
        <v>194</v>
      </c>
      <c r="B319" s="43">
        <v>701</v>
      </c>
      <c r="C319" s="49" t="s">
        <v>328</v>
      </c>
      <c r="D319" s="49" t="s">
        <v>309</v>
      </c>
      <c r="E319" s="49" t="s">
        <v>273</v>
      </c>
      <c r="F319" s="49" t="s">
        <v>241</v>
      </c>
      <c r="G319" s="50">
        <v>1269598.02</v>
      </c>
      <c r="H319" s="50">
        <v>1004200</v>
      </c>
      <c r="I319" s="50">
        <v>1004200</v>
      </c>
    </row>
    <row r="320" spans="1:9" x14ac:dyDescent="0.25">
      <c r="A320" s="26" t="s">
        <v>195</v>
      </c>
      <c r="B320" s="43">
        <v>701</v>
      </c>
      <c r="C320" s="49" t="s">
        <v>328</v>
      </c>
      <c r="D320" s="49" t="s">
        <v>309</v>
      </c>
      <c r="E320" s="49" t="s">
        <v>273</v>
      </c>
      <c r="F320" s="49" t="s">
        <v>246</v>
      </c>
      <c r="G320" s="50">
        <v>1453721.98</v>
      </c>
      <c r="H320" s="50">
        <v>1864500</v>
      </c>
      <c r="I320" s="50">
        <v>1864500</v>
      </c>
    </row>
    <row r="321" spans="1:9" x14ac:dyDescent="0.25">
      <c r="A321" s="30" t="s">
        <v>294</v>
      </c>
      <c r="B321" s="43">
        <v>701</v>
      </c>
      <c r="C321" s="47" t="s">
        <v>328</v>
      </c>
      <c r="D321" s="47" t="s">
        <v>309</v>
      </c>
      <c r="E321" s="47" t="s">
        <v>295</v>
      </c>
      <c r="F321" s="49"/>
      <c r="G321" s="48">
        <v>7927711.6900000004</v>
      </c>
      <c r="H321" s="48">
        <v>3973516.03</v>
      </c>
      <c r="I321" s="48">
        <v>3973516.03</v>
      </c>
    </row>
    <row r="322" spans="1:9" ht="30.75" x14ac:dyDescent="0.25">
      <c r="A322" s="26" t="s">
        <v>296</v>
      </c>
      <c r="B322" s="43">
        <v>701</v>
      </c>
      <c r="C322" s="49" t="s">
        <v>328</v>
      </c>
      <c r="D322" s="49" t="s">
        <v>309</v>
      </c>
      <c r="E322" s="49" t="s">
        <v>297</v>
      </c>
      <c r="F322" s="49"/>
      <c r="G322" s="50">
        <v>4444504.91</v>
      </c>
      <c r="H322" s="50">
        <v>2854216.03</v>
      </c>
      <c r="I322" s="50">
        <v>2854216.03</v>
      </c>
    </row>
    <row r="323" spans="1:9" ht="75.75" x14ac:dyDescent="0.25">
      <c r="A323" s="26" t="s">
        <v>193</v>
      </c>
      <c r="B323" s="43">
        <v>701</v>
      </c>
      <c r="C323" s="49" t="s">
        <v>328</v>
      </c>
      <c r="D323" s="49" t="s">
        <v>309</v>
      </c>
      <c r="E323" s="49" t="s">
        <v>297</v>
      </c>
      <c r="F323" s="49" t="s">
        <v>222</v>
      </c>
      <c r="G323" s="50">
        <v>4444504.91</v>
      </c>
      <c r="H323" s="50">
        <v>2854216.03</v>
      </c>
      <c r="I323" s="50">
        <v>2854216.03</v>
      </c>
    </row>
    <row r="324" spans="1:9" x14ac:dyDescent="0.25">
      <c r="A324" s="26" t="s">
        <v>314</v>
      </c>
      <c r="B324" s="43">
        <v>701</v>
      </c>
      <c r="C324" s="49" t="s">
        <v>328</v>
      </c>
      <c r="D324" s="49" t="s">
        <v>309</v>
      </c>
      <c r="E324" s="49" t="s">
        <v>315</v>
      </c>
      <c r="F324" s="49"/>
      <c r="G324" s="50">
        <v>3483206.7800000003</v>
      </c>
      <c r="H324" s="50">
        <v>1119300</v>
      </c>
      <c r="I324" s="50">
        <v>1119300</v>
      </c>
    </row>
    <row r="325" spans="1:9" ht="30.75" hidden="1" x14ac:dyDescent="0.25">
      <c r="A325" s="26" t="s">
        <v>194</v>
      </c>
      <c r="B325" s="43">
        <v>701</v>
      </c>
      <c r="C325" s="49" t="s">
        <v>328</v>
      </c>
      <c r="D325" s="49" t="s">
        <v>309</v>
      </c>
      <c r="E325" s="49" t="s">
        <v>315</v>
      </c>
      <c r="F325" s="49" t="s">
        <v>241</v>
      </c>
      <c r="G325" s="50">
        <v>0</v>
      </c>
      <c r="H325" s="50">
        <v>0</v>
      </c>
      <c r="I325" s="50">
        <v>0</v>
      </c>
    </row>
    <row r="326" spans="1:9" x14ac:dyDescent="0.25">
      <c r="A326" s="26" t="s">
        <v>195</v>
      </c>
      <c r="B326" s="43">
        <v>701</v>
      </c>
      <c r="C326" s="49" t="s">
        <v>328</v>
      </c>
      <c r="D326" s="49" t="s">
        <v>309</v>
      </c>
      <c r="E326" s="49" t="s">
        <v>315</v>
      </c>
      <c r="F326" s="49" t="s">
        <v>246</v>
      </c>
      <c r="G326" s="50">
        <v>3483206.7800000003</v>
      </c>
      <c r="H326" s="50">
        <v>1119300</v>
      </c>
      <c r="I326" s="50">
        <v>1119300</v>
      </c>
    </row>
    <row r="327" spans="1:9" x14ac:dyDescent="0.25">
      <c r="A327" s="30" t="s">
        <v>363</v>
      </c>
      <c r="B327" s="43">
        <v>701</v>
      </c>
      <c r="C327" s="47" t="s">
        <v>313</v>
      </c>
      <c r="D327" s="47"/>
      <c r="E327" s="47"/>
      <c r="F327" s="47"/>
      <c r="G327" s="48">
        <v>185157619.07999998</v>
      </c>
      <c r="H327" s="48">
        <v>138072363.33999997</v>
      </c>
      <c r="I327" s="48">
        <v>139031568.62</v>
      </c>
    </row>
    <row r="328" spans="1:9" x14ac:dyDescent="0.25">
      <c r="A328" s="30" t="s">
        <v>364</v>
      </c>
      <c r="B328" s="43">
        <v>701</v>
      </c>
      <c r="C328" s="47" t="s">
        <v>313</v>
      </c>
      <c r="D328" s="47" t="s">
        <v>291</v>
      </c>
      <c r="E328" s="47"/>
      <c r="F328" s="47"/>
      <c r="G328" s="48">
        <v>176657619.07999998</v>
      </c>
      <c r="H328" s="48">
        <v>130072363.33999999</v>
      </c>
      <c r="I328" s="48">
        <v>131031568.61999999</v>
      </c>
    </row>
    <row r="329" spans="1:9" ht="31.5" x14ac:dyDescent="0.25">
      <c r="A329" s="30" t="s">
        <v>264</v>
      </c>
      <c r="B329" s="43">
        <v>701</v>
      </c>
      <c r="C329" s="47" t="s">
        <v>313</v>
      </c>
      <c r="D329" s="47" t="s">
        <v>291</v>
      </c>
      <c r="E329" s="47" t="s">
        <v>265</v>
      </c>
      <c r="F329" s="47"/>
      <c r="G329" s="48">
        <v>135482556.88</v>
      </c>
      <c r="H329" s="48">
        <v>130072363.33999999</v>
      </c>
      <c r="I329" s="48">
        <v>131031568.61999999</v>
      </c>
    </row>
    <row r="330" spans="1:9" x14ac:dyDescent="0.25">
      <c r="A330" s="26" t="s">
        <v>191</v>
      </c>
      <c r="B330" s="43">
        <v>701</v>
      </c>
      <c r="C330" s="49" t="s">
        <v>313</v>
      </c>
      <c r="D330" s="49" t="s">
        <v>291</v>
      </c>
      <c r="E330" s="49" t="s">
        <v>266</v>
      </c>
      <c r="F330" s="49"/>
      <c r="G330" s="50">
        <v>127982556.88</v>
      </c>
      <c r="H330" s="50">
        <v>122072363.33999999</v>
      </c>
      <c r="I330" s="50">
        <v>123031568.61999999</v>
      </c>
    </row>
    <row r="331" spans="1:9" ht="75.75" x14ac:dyDescent="0.25">
      <c r="A331" s="26" t="s">
        <v>193</v>
      </c>
      <c r="B331" s="43">
        <v>701</v>
      </c>
      <c r="C331" s="49" t="s">
        <v>313</v>
      </c>
      <c r="D331" s="49" t="s">
        <v>291</v>
      </c>
      <c r="E331" s="49" t="s">
        <v>266</v>
      </c>
      <c r="F331" s="49" t="s">
        <v>222</v>
      </c>
      <c r="G331" s="50">
        <v>98332282.530000001</v>
      </c>
      <c r="H331" s="50">
        <v>93985125.769999996</v>
      </c>
      <c r="I331" s="50">
        <v>93985125.769999996</v>
      </c>
    </row>
    <row r="332" spans="1:9" ht="30.75" x14ac:dyDescent="0.25">
      <c r="A332" s="26" t="s">
        <v>194</v>
      </c>
      <c r="B332" s="43">
        <v>701</v>
      </c>
      <c r="C332" s="49" t="s">
        <v>313</v>
      </c>
      <c r="D332" s="49" t="s">
        <v>291</v>
      </c>
      <c r="E332" s="49" t="s">
        <v>266</v>
      </c>
      <c r="F332" s="49" t="s">
        <v>241</v>
      </c>
      <c r="G332" s="50">
        <v>26553297.239999998</v>
      </c>
      <c r="H332" s="50">
        <v>24990260.460000001</v>
      </c>
      <c r="I332" s="50">
        <v>25949465.739999998</v>
      </c>
    </row>
    <row r="333" spans="1:9" x14ac:dyDescent="0.25">
      <c r="A333" s="26" t="s">
        <v>195</v>
      </c>
      <c r="B333" s="43">
        <v>701</v>
      </c>
      <c r="C333" s="49" t="s">
        <v>313</v>
      </c>
      <c r="D333" s="49" t="s">
        <v>291</v>
      </c>
      <c r="E333" s="49" t="s">
        <v>266</v>
      </c>
      <c r="F333" s="49" t="s">
        <v>246</v>
      </c>
      <c r="G333" s="50">
        <v>0</v>
      </c>
      <c r="H333" s="50">
        <v>0</v>
      </c>
      <c r="I333" s="50">
        <v>0</v>
      </c>
    </row>
    <row r="334" spans="1:9" x14ac:dyDescent="0.25">
      <c r="A334" s="26" t="s">
        <v>196</v>
      </c>
      <c r="B334" s="43">
        <v>701</v>
      </c>
      <c r="C334" s="49" t="s">
        <v>313</v>
      </c>
      <c r="D334" s="49" t="s">
        <v>291</v>
      </c>
      <c r="E334" s="49" t="s">
        <v>266</v>
      </c>
      <c r="F334" s="49" t="s">
        <v>223</v>
      </c>
      <c r="G334" s="50">
        <v>3096977.11</v>
      </c>
      <c r="H334" s="50">
        <v>3096977.11</v>
      </c>
      <c r="I334" s="50">
        <v>3096977.11</v>
      </c>
    </row>
    <row r="335" spans="1:9" x14ac:dyDescent="0.25">
      <c r="A335" s="26" t="s">
        <v>269</v>
      </c>
      <c r="B335" s="43">
        <v>701</v>
      </c>
      <c r="C335" s="49" t="s">
        <v>313</v>
      </c>
      <c r="D335" s="49" t="s">
        <v>291</v>
      </c>
      <c r="E335" s="49" t="s">
        <v>270</v>
      </c>
      <c r="F335" s="49"/>
      <c r="G335" s="50">
        <v>7500000</v>
      </c>
      <c r="H335" s="50">
        <v>8000000</v>
      </c>
      <c r="I335" s="50">
        <v>8000000</v>
      </c>
    </row>
    <row r="336" spans="1:9" ht="75.75" x14ac:dyDescent="0.25">
      <c r="A336" s="26" t="s">
        <v>193</v>
      </c>
      <c r="B336" s="43">
        <v>701</v>
      </c>
      <c r="C336" s="49" t="s">
        <v>313</v>
      </c>
      <c r="D336" s="49" t="s">
        <v>291</v>
      </c>
      <c r="E336" s="49" t="s">
        <v>270</v>
      </c>
      <c r="F336" s="49" t="s">
        <v>222</v>
      </c>
      <c r="G336" s="50">
        <v>940000</v>
      </c>
      <c r="H336" s="50">
        <v>2240000</v>
      </c>
      <c r="I336" s="50">
        <v>2240000</v>
      </c>
    </row>
    <row r="337" spans="1:9" ht="30.75" x14ac:dyDescent="0.25">
      <c r="A337" s="26" t="s">
        <v>194</v>
      </c>
      <c r="B337" s="43">
        <v>701</v>
      </c>
      <c r="C337" s="49" t="s">
        <v>313</v>
      </c>
      <c r="D337" s="49" t="s">
        <v>291</v>
      </c>
      <c r="E337" s="49" t="s">
        <v>270</v>
      </c>
      <c r="F337" s="49" t="s">
        <v>241</v>
      </c>
      <c r="G337" s="50">
        <v>6560000</v>
      </c>
      <c r="H337" s="50">
        <v>5760000</v>
      </c>
      <c r="I337" s="50">
        <v>5760000</v>
      </c>
    </row>
    <row r="338" spans="1:9" s="23" customFormat="1" x14ac:dyDescent="0.25">
      <c r="A338" s="30" t="s">
        <v>294</v>
      </c>
      <c r="B338" s="43">
        <v>701</v>
      </c>
      <c r="C338" s="47" t="s">
        <v>313</v>
      </c>
      <c r="D338" s="47" t="s">
        <v>291</v>
      </c>
      <c r="E338" s="47" t="s">
        <v>295</v>
      </c>
      <c r="F338" s="47"/>
      <c r="G338" s="48">
        <v>41175062.200000003</v>
      </c>
      <c r="H338" s="48">
        <v>0</v>
      </c>
      <c r="I338" s="48">
        <v>0</v>
      </c>
    </row>
    <row r="339" spans="1:9" x14ac:dyDescent="0.25">
      <c r="A339" s="26" t="s">
        <v>314</v>
      </c>
      <c r="B339" s="43">
        <v>701</v>
      </c>
      <c r="C339" s="49" t="s">
        <v>313</v>
      </c>
      <c r="D339" s="49" t="s">
        <v>291</v>
      </c>
      <c r="E339" s="49" t="s">
        <v>315</v>
      </c>
      <c r="F339" s="49"/>
      <c r="G339" s="50">
        <v>41175062.200000003</v>
      </c>
      <c r="H339" s="50">
        <v>0</v>
      </c>
      <c r="I339" s="50">
        <v>0</v>
      </c>
    </row>
    <row r="340" spans="1:9" ht="30.75" x14ac:dyDescent="0.25">
      <c r="A340" s="26" t="s">
        <v>194</v>
      </c>
      <c r="B340" s="43">
        <v>701</v>
      </c>
      <c r="C340" s="49" t="s">
        <v>313</v>
      </c>
      <c r="D340" s="49" t="s">
        <v>291</v>
      </c>
      <c r="E340" s="49" t="s">
        <v>315</v>
      </c>
      <c r="F340" s="49" t="s">
        <v>241</v>
      </c>
      <c r="G340" s="50">
        <v>39514008</v>
      </c>
      <c r="H340" s="50">
        <v>0</v>
      </c>
      <c r="I340" s="50">
        <v>0</v>
      </c>
    </row>
    <row r="341" spans="1:9" x14ac:dyDescent="0.25">
      <c r="A341" s="26" t="s">
        <v>195</v>
      </c>
      <c r="B341" s="43">
        <v>701</v>
      </c>
      <c r="C341" s="49" t="s">
        <v>313</v>
      </c>
      <c r="D341" s="49" t="s">
        <v>291</v>
      </c>
      <c r="E341" s="49" t="s">
        <v>315</v>
      </c>
      <c r="F341" s="49" t="s">
        <v>246</v>
      </c>
      <c r="G341" s="50">
        <v>988873</v>
      </c>
      <c r="H341" s="50">
        <v>0</v>
      </c>
      <c r="I341" s="50">
        <v>0</v>
      </c>
    </row>
    <row r="342" spans="1:9" ht="30.75" x14ac:dyDescent="0.25">
      <c r="A342" s="26" t="s">
        <v>214</v>
      </c>
      <c r="B342" s="43">
        <v>701</v>
      </c>
      <c r="C342" s="49" t="s">
        <v>313</v>
      </c>
      <c r="D342" s="49" t="s">
        <v>291</v>
      </c>
      <c r="E342" s="49" t="s">
        <v>315</v>
      </c>
      <c r="F342" s="49" t="s">
        <v>255</v>
      </c>
      <c r="G342" s="50">
        <v>672181.2</v>
      </c>
      <c r="H342" s="50">
        <v>0</v>
      </c>
      <c r="I342" s="50">
        <v>0</v>
      </c>
    </row>
    <row r="343" spans="1:9" x14ac:dyDescent="0.25">
      <c r="A343" s="30" t="s">
        <v>407</v>
      </c>
      <c r="B343" s="43">
        <v>701</v>
      </c>
      <c r="C343" s="47" t="s">
        <v>313</v>
      </c>
      <c r="D343" s="47" t="s">
        <v>293</v>
      </c>
      <c r="E343" s="47"/>
      <c r="F343" s="47"/>
      <c r="G343" s="48">
        <v>8500000</v>
      </c>
      <c r="H343" s="48">
        <v>8000000</v>
      </c>
      <c r="I343" s="48">
        <v>8000000</v>
      </c>
    </row>
    <row r="344" spans="1:9" s="23" customFormat="1" ht="31.5" x14ac:dyDescent="0.25">
      <c r="A344" s="30" t="s">
        <v>264</v>
      </c>
      <c r="B344" s="43">
        <v>701</v>
      </c>
      <c r="C344" s="47" t="s">
        <v>313</v>
      </c>
      <c r="D344" s="47" t="s">
        <v>293</v>
      </c>
      <c r="E344" s="47" t="s">
        <v>265</v>
      </c>
      <c r="F344" s="47"/>
      <c r="G344" s="48">
        <v>8500000</v>
      </c>
      <c r="H344" s="48">
        <v>8000000</v>
      </c>
      <c r="I344" s="48">
        <v>8000000</v>
      </c>
    </row>
    <row r="345" spans="1:9" x14ac:dyDescent="0.25">
      <c r="A345" s="26" t="s">
        <v>267</v>
      </c>
      <c r="B345" s="43">
        <v>701</v>
      </c>
      <c r="C345" s="49" t="s">
        <v>313</v>
      </c>
      <c r="D345" s="49" t="s">
        <v>293</v>
      </c>
      <c r="E345" s="49" t="s">
        <v>268</v>
      </c>
      <c r="F345" s="49"/>
      <c r="G345" s="50">
        <v>8500000</v>
      </c>
      <c r="H345" s="50">
        <v>8000000</v>
      </c>
      <c r="I345" s="50">
        <v>8000000</v>
      </c>
    </row>
    <row r="346" spans="1:9" ht="75.75" x14ac:dyDescent="0.25">
      <c r="A346" s="26" t="s">
        <v>193</v>
      </c>
      <c r="B346" s="43">
        <v>701</v>
      </c>
      <c r="C346" s="49" t="s">
        <v>313</v>
      </c>
      <c r="D346" s="49" t="s">
        <v>293</v>
      </c>
      <c r="E346" s="49" t="s">
        <v>268</v>
      </c>
      <c r="F346" s="49" t="s">
        <v>222</v>
      </c>
      <c r="G346" s="50">
        <v>920000</v>
      </c>
      <c r="H346" s="50">
        <v>2120000</v>
      </c>
      <c r="I346" s="50">
        <v>2120000</v>
      </c>
    </row>
    <row r="347" spans="1:9" ht="30.75" x14ac:dyDescent="0.25">
      <c r="A347" s="26" t="s">
        <v>194</v>
      </c>
      <c r="B347" s="43">
        <v>701</v>
      </c>
      <c r="C347" s="49" t="s">
        <v>313</v>
      </c>
      <c r="D347" s="49" t="s">
        <v>293</v>
      </c>
      <c r="E347" s="49" t="s">
        <v>268</v>
      </c>
      <c r="F347" s="49" t="s">
        <v>241</v>
      </c>
      <c r="G347" s="50">
        <v>7580000</v>
      </c>
      <c r="H347" s="50">
        <v>5880000</v>
      </c>
      <c r="I347" s="50">
        <v>5880000</v>
      </c>
    </row>
    <row r="348" spans="1:9" ht="63" x14ac:dyDescent="0.25">
      <c r="A348" s="60" t="s">
        <v>367</v>
      </c>
      <c r="B348" s="43">
        <v>701</v>
      </c>
      <c r="C348" s="103" t="s">
        <v>368</v>
      </c>
      <c r="D348" s="103"/>
      <c r="E348" s="103"/>
      <c r="F348" s="104"/>
      <c r="G348" s="62">
        <v>461564467.12</v>
      </c>
      <c r="H348" s="62">
        <v>0</v>
      </c>
      <c r="I348" s="62">
        <v>0</v>
      </c>
    </row>
    <row r="349" spans="1:9" ht="31.5" x14ac:dyDescent="0.25">
      <c r="A349" s="63" t="s">
        <v>369</v>
      </c>
      <c r="B349" s="43">
        <v>701</v>
      </c>
      <c r="C349" s="103" t="s">
        <v>368</v>
      </c>
      <c r="D349" s="103" t="s">
        <v>301</v>
      </c>
      <c r="E349" s="103"/>
      <c r="F349" s="104"/>
      <c r="G349" s="62">
        <v>461564467.12</v>
      </c>
      <c r="H349" s="62">
        <v>0</v>
      </c>
      <c r="I349" s="62">
        <v>0</v>
      </c>
    </row>
    <row r="350" spans="1:9" x14ac:dyDescent="0.25">
      <c r="A350" s="30" t="s">
        <v>294</v>
      </c>
      <c r="B350" s="43">
        <v>701</v>
      </c>
      <c r="C350" s="103" t="s">
        <v>368</v>
      </c>
      <c r="D350" s="103" t="s">
        <v>301</v>
      </c>
      <c r="E350" s="103" t="s">
        <v>295</v>
      </c>
      <c r="F350" s="104"/>
      <c r="G350" s="62">
        <v>461564467.12</v>
      </c>
      <c r="H350" s="62">
        <v>0</v>
      </c>
      <c r="I350" s="62">
        <v>0</v>
      </c>
    </row>
    <row r="351" spans="1:9" x14ac:dyDescent="0.25">
      <c r="A351" s="26" t="s">
        <v>370</v>
      </c>
      <c r="B351" s="43">
        <v>701</v>
      </c>
      <c r="C351" s="103" t="s">
        <v>368</v>
      </c>
      <c r="D351" s="103" t="s">
        <v>301</v>
      </c>
      <c r="E351" s="103" t="s">
        <v>371</v>
      </c>
      <c r="F351" s="104"/>
      <c r="G351" s="62">
        <v>461564467.12</v>
      </c>
      <c r="H351" s="62">
        <v>0</v>
      </c>
      <c r="I351" s="62">
        <v>0</v>
      </c>
    </row>
    <row r="352" spans="1:9" x14ac:dyDescent="0.25">
      <c r="A352" s="105" t="s">
        <v>370</v>
      </c>
      <c r="B352" s="43">
        <v>701</v>
      </c>
      <c r="C352" s="106" t="s">
        <v>368</v>
      </c>
      <c r="D352" s="106" t="s">
        <v>301</v>
      </c>
      <c r="E352" s="106" t="s">
        <v>371</v>
      </c>
      <c r="F352" s="107" t="s">
        <v>374</v>
      </c>
      <c r="G352" s="16">
        <v>461564467.12</v>
      </c>
      <c r="H352" s="16">
        <v>0</v>
      </c>
      <c r="I352" s="16">
        <v>0</v>
      </c>
    </row>
  </sheetData>
  <autoFilter ref="A15:I352"/>
  <mergeCells count="1">
    <mergeCell ref="A12:I12"/>
  </mergeCells>
  <pageMargins left="0.70866141732283472" right="0.70866141732283472" top="0.74803149606299213" bottom="0.74803149606299213" header="0.31496062992125984" footer="0.31496062992125984"/>
  <pageSetup paperSize="9" scale="51" fitToHeight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tabSelected="1" workbookViewId="0">
      <selection activeCell="E8" sqref="E8"/>
    </sheetView>
  </sheetViews>
  <sheetFormatPr defaultRowHeight="15" x14ac:dyDescent="0.25"/>
  <cols>
    <col min="1" max="1" width="7.5703125" style="18" customWidth="1"/>
    <col min="2" max="2" width="79.5703125" style="18" customWidth="1"/>
    <col min="3" max="3" width="19.7109375" style="113" customWidth="1"/>
    <col min="4" max="4" width="23.7109375" style="113" customWidth="1"/>
    <col min="5" max="5" width="19.42578125" style="113" customWidth="1"/>
  </cols>
  <sheetData>
    <row r="2" spans="1:5" ht="18.75" x14ac:dyDescent="0.3">
      <c r="B2" s="123"/>
      <c r="C2" s="112" t="s">
        <v>464</v>
      </c>
    </row>
    <row r="3" spans="1:5" ht="18.75" x14ac:dyDescent="0.3">
      <c r="B3" s="124"/>
      <c r="C3" s="112" t="s">
        <v>286</v>
      </c>
    </row>
    <row r="4" spans="1:5" ht="18.75" x14ac:dyDescent="0.3">
      <c r="B4" s="124"/>
      <c r="C4" s="112" t="s">
        <v>17</v>
      </c>
    </row>
    <row r="5" spans="1:5" ht="18.75" x14ac:dyDescent="0.3">
      <c r="B5" s="123"/>
      <c r="C5" s="112" t="s">
        <v>18</v>
      </c>
    </row>
    <row r="6" spans="1:5" ht="18.75" x14ac:dyDescent="0.3">
      <c r="B6" s="124"/>
      <c r="C6" s="112" t="s">
        <v>19</v>
      </c>
    </row>
    <row r="7" spans="1:5" ht="18.75" x14ac:dyDescent="0.3">
      <c r="B7" s="124"/>
      <c r="C7" s="112" t="s">
        <v>563</v>
      </c>
    </row>
    <row r="8" spans="1:5" ht="18.75" x14ac:dyDescent="0.3">
      <c r="C8" s="112" t="s">
        <v>564</v>
      </c>
    </row>
    <row r="11" spans="1:5" ht="41.25" customHeight="1" x14ac:dyDescent="0.25">
      <c r="A11" s="184" t="s">
        <v>461</v>
      </c>
      <c r="B11" s="184"/>
      <c r="C11" s="184"/>
      <c r="D11" s="184"/>
      <c r="E11" s="184"/>
    </row>
    <row r="12" spans="1:5" x14ac:dyDescent="0.25">
      <c r="E12" s="114" t="s">
        <v>185</v>
      </c>
    </row>
    <row r="13" spans="1:5" ht="30" x14ac:dyDescent="0.25">
      <c r="A13" s="125"/>
      <c r="B13" s="126" t="s">
        <v>417</v>
      </c>
      <c r="C13" s="127" t="s">
        <v>22</v>
      </c>
      <c r="D13" s="127" t="s">
        <v>23</v>
      </c>
      <c r="E13" s="127" t="s">
        <v>173</v>
      </c>
    </row>
    <row r="14" spans="1:5" ht="15.75" x14ac:dyDescent="0.25">
      <c r="A14" s="128"/>
      <c r="B14" s="115" t="s">
        <v>418</v>
      </c>
      <c r="C14" s="119">
        <f>C18+C21+C27+C24</f>
        <v>1230750350.0500002</v>
      </c>
      <c r="D14" s="119">
        <f>D18+D21+D27+D24</f>
        <v>18682585.650000095</v>
      </c>
      <c r="E14" s="119">
        <f>E18+E21+E27+E24</f>
        <v>-87705814.629999638</v>
      </c>
    </row>
    <row r="15" spans="1:5" ht="15.75" x14ac:dyDescent="0.25">
      <c r="A15" s="129" t="s">
        <v>419</v>
      </c>
      <c r="B15" s="115" t="s">
        <v>414</v>
      </c>
      <c r="C15" s="119"/>
      <c r="D15" s="120" t="s">
        <v>420</v>
      </c>
      <c r="E15" s="120"/>
    </row>
    <row r="16" spans="1:5" ht="15.75" hidden="1" x14ac:dyDescent="0.25">
      <c r="A16" s="130" t="s">
        <v>421</v>
      </c>
      <c r="B16" s="116" t="s">
        <v>422</v>
      </c>
      <c r="C16" s="117"/>
      <c r="D16" s="120"/>
      <c r="E16" s="120"/>
    </row>
    <row r="17" spans="1:5" ht="15.75" hidden="1" x14ac:dyDescent="0.25">
      <c r="A17" s="130" t="s">
        <v>423</v>
      </c>
      <c r="B17" s="116" t="s">
        <v>424</v>
      </c>
      <c r="C17" s="117"/>
      <c r="D17" s="120"/>
      <c r="E17" s="120"/>
    </row>
    <row r="18" spans="1:5" ht="15.75" x14ac:dyDescent="0.25">
      <c r="A18" s="129" t="s">
        <v>425</v>
      </c>
      <c r="B18" s="115" t="s">
        <v>426</v>
      </c>
      <c r="C18" s="119">
        <f>C19+C20</f>
        <v>0</v>
      </c>
      <c r="D18" s="119">
        <f>D19+D20</f>
        <v>0</v>
      </c>
      <c r="E18" s="119">
        <f>E19+E20</f>
        <v>0</v>
      </c>
    </row>
    <row r="19" spans="1:5" ht="15.75" hidden="1" x14ac:dyDescent="0.25">
      <c r="A19" s="130" t="s">
        <v>427</v>
      </c>
      <c r="B19" s="116" t="s">
        <v>422</v>
      </c>
      <c r="C19" s="117">
        <v>0</v>
      </c>
      <c r="D19" s="120"/>
      <c r="E19" s="120"/>
    </row>
    <row r="20" spans="1:5" ht="15.75" hidden="1" x14ac:dyDescent="0.25">
      <c r="A20" s="130" t="s">
        <v>428</v>
      </c>
      <c r="B20" s="116" t="s">
        <v>424</v>
      </c>
      <c r="C20" s="117"/>
      <c r="D20" s="120"/>
      <c r="E20" s="120"/>
    </row>
    <row r="21" spans="1:5" ht="15.75" x14ac:dyDescent="0.25">
      <c r="A21" s="129" t="s">
        <v>429</v>
      </c>
      <c r="B21" s="115" t="s">
        <v>430</v>
      </c>
      <c r="C21" s="119">
        <f>C22+C23</f>
        <v>0</v>
      </c>
      <c r="D21" s="119">
        <f>D22+D23</f>
        <v>0</v>
      </c>
      <c r="E21" s="119">
        <f>E22+E23</f>
        <v>0</v>
      </c>
    </row>
    <row r="22" spans="1:5" ht="15.75" hidden="1" x14ac:dyDescent="0.25">
      <c r="A22" s="130" t="s">
        <v>431</v>
      </c>
      <c r="B22" s="116" t="s">
        <v>422</v>
      </c>
      <c r="C22" s="118"/>
      <c r="D22" s="120"/>
      <c r="E22" s="131"/>
    </row>
    <row r="23" spans="1:5" ht="15.75" hidden="1" x14ac:dyDescent="0.25">
      <c r="A23" s="130" t="s">
        <v>432</v>
      </c>
      <c r="B23" s="116" t="s">
        <v>424</v>
      </c>
      <c r="C23" s="121"/>
      <c r="D23" s="120"/>
      <c r="E23" s="120"/>
    </row>
    <row r="24" spans="1:5" ht="31.5" x14ac:dyDescent="0.25">
      <c r="A24" s="129" t="s">
        <v>412</v>
      </c>
      <c r="B24" s="115" t="s">
        <v>433</v>
      </c>
      <c r="C24" s="119">
        <f>C25+C26</f>
        <v>1230750350.0500002</v>
      </c>
      <c r="D24" s="119">
        <f>D25+D26</f>
        <v>18682585.650000095</v>
      </c>
      <c r="E24" s="119">
        <f>E25+E26</f>
        <v>-87705814.629999638</v>
      </c>
    </row>
    <row r="25" spans="1:5" ht="15.75" x14ac:dyDescent="0.25">
      <c r="A25" s="130" t="s">
        <v>434</v>
      </c>
      <c r="B25" s="116" t="s">
        <v>435</v>
      </c>
      <c r="C25" s="117">
        <f>-Приложение_1!C142</f>
        <v>-4160296222.1199999</v>
      </c>
      <c r="D25" s="117">
        <f>-Приложение_1!D142</f>
        <v>-3699412051.5599999</v>
      </c>
      <c r="E25" s="117">
        <f>-Приложение_1!E142</f>
        <v>-3826942498.8899999</v>
      </c>
    </row>
    <row r="26" spans="1:5" ht="15.75" x14ac:dyDescent="0.25">
      <c r="A26" s="130" t="s">
        <v>436</v>
      </c>
      <c r="B26" s="116" t="s">
        <v>437</v>
      </c>
      <c r="C26" s="117">
        <v>5391046572.1700001</v>
      </c>
      <c r="D26" s="117">
        <v>3718094637.21</v>
      </c>
      <c r="E26" s="117">
        <v>3739236684.2600002</v>
      </c>
    </row>
    <row r="27" spans="1:5" ht="31.5" x14ac:dyDescent="0.25">
      <c r="A27" s="129" t="s">
        <v>413</v>
      </c>
      <c r="B27" s="115" t="s">
        <v>438</v>
      </c>
      <c r="C27" s="119">
        <f>C35</f>
        <v>0</v>
      </c>
      <c r="D27" s="119">
        <f>D35</f>
        <v>0</v>
      </c>
      <c r="E27" s="119">
        <f>E35</f>
        <v>0</v>
      </c>
    </row>
    <row r="28" spans="1:5" ht="31.5" hidden="1" x14ac:dyDescent="0.25">
      <c r="A28" s="129" t="s">
        <v>439</v>
      </c>
      <c r="B28" s="115" t="s">
        <v>440</v>
      </c>
      <c r="C28" s="119">
        <v>0</v>
      </c>
      <c r="D28" s="119">
        <v>0</v>
      </c>
      <c r="E28" s="119">
        <v>0</v>
      </c>
    </row>
    <row r="29" spans="1:5" ht="15.75" hidden="1" x14ac:dyDescent="0.25">
      <c r="A29" s="130" t="s">
        <v>441</v>
      </c>
      <c r="B29" s="116" t="s">
        <v>442</v>
      </c>
      <c r="C29" s="117"/>
      <c r="D29" s="120"/>
      <c r="E29" s="120"/>
    </row>
    <row r="30" spans="1:5" ht="15.75" hidden="1" x14ac:dyDescent="0.25">
      <c r="A30" s="130" t="s">
        <v>443</v>
      </c>
      <c r="B30" s="116" t="s">
        <v>444</v>
      </c>
      <c r="C30" s="117"/>
      <c r="D30" s="120"/>
      <c r="E30" s="120"/>
    </row>
    <row r="31" spans="1:5" ht="31.5" hidden="1" x14ac:dyDescent="0.25">
      <c r="A31" s="129" t="s">
        <v>445</v>
      </c>
      <c r="B31" s="115" t="s">
        <v>446</v>
      </c>
      <c r="C31" s="119">
        <v>0</v>
      </c>
      <c r="D31" s="119">
        <v>0</v>
      </c>
      <c r="E31" s="119">
        <v>0</v>
      </c>
    </row>
    <row r="32" spans="1:5" ht="15.75" hidden="1" x14ac:dyDescent="0.25">
      <c r="A32" s="130" t="s">
        <v>447</v>
      </c>
      <c r="B32" s="116" t="s">
        <v>448</v>
      </c>
      <c r="C32" s="117"/>
      <c r="D32" s="120"/>
      <c r="E32" s="120"/>
    </row>
    <row r="33" spans="1:5" ht="15.75" hidden="1" x14ac:dyDescent="0.25">
      <c r="A33" s="130" t="s">
        <v>449</v>
      </c>
      <c r="B33" s="116" t="s">
        <v>450</v>
      </c>
      <c r="C33" s="117"/>
      <c r="D33" s="120"/>
      <c r="E33" s="120"/>
    </row>
    <row r="34" spans="1:5" ht="15.75" hidden="1" x14ac:dyDescent="0.25">
      <c r="A34" s="129" t="s">
        <v>451</v>
      </c>
      <c r="B34" s="115" t="s">
        <v>452</v>
      </c>
      <c r="C34" s="119">
        <v>0</v>
      </c>
      <c r="D34" s="119">
        <v>0</v>
      </c>
      <c r="E34" s="119">
        <v>0</v>
      </c>
    </row>
    <row r="35" spans="1:5" ht="31.5" hidden="1" x14ac:dyDescent="0.25">
      <c r="A35" s="129" t="s">
        <v>453</v>
      </c>
      <c r="B35" s="115" t="s">
        <v>454</v>
      </c>
      <c r="C35" s="119">
        <f>SUM(C37:C37)</f>
        <v>0</v>
      </c>
      <c r="D35" s="119">
        <f>SUM(D37:D37)</f>
        <v>0</v>
      </c>
      <c r="E35" s="119">
        <f>SUM(E37:E37)</f>
        <v>0</v>
      </c>
    </row>
    <row r="36" spans="1:5" ht="15.75" hidden="1" x14ac:dyDescent="0.25">
      <c r="A36" s="130" t="s">
        <v>455</v>
      </c>
      <c r="B36" s="116" t="s">
        <v>456</v>
      </c>
      <c r="C36" s="119"/>
      <c r="D36" s="119"/>
      <c r="E36" s="119"/>
    </row>
    <row r="37" spans="1:5" ht="15.75" hidden="1" x14ac:dyDescent="0.25">
      <c r="A37" s="130" t="s">
        <v>457</v>
      </c>
      <c r="B37" s="116" t="s">
        <v>458</v>
      </c>
      <c r="C37" s="132">
        <v>0</v>
      </c>
      <c r="D37" s="132"/>
      <c r="E37" s="118">
        <v>0</v>
      </c>
    </row>
    <row r="38" spans="1:5" ht="15.75" hidden="1" x14ac:dyDescent="0.25">
      <c r="A38" s="129" t="s">
        <v>459</v>
      </c>
      <c r="B38" s="115" t="s">
        <v>415</v>
      </c>
      <c r="C38" s="119">
        <f>C39</f>
        <v>0</v>
      </c>
      <c r="D38" s="119">
        <f>D39</f>
        <v>0</v>
      </c>
      <c r="E38" s="119">
        <f>E39</f>
        <v>0</v>
      </c>
    </row>
    <row r="39" spans="1:5" ht="15.75" hidden="1" x14ac:dyDescent="0.25">
      <c r="A39" s="130" t="s">
        <v>460</v>
      </c>
      <c r="B39" s="116" t="s">
        <v>416</v>
      </c>
      <c r="C39" s="117"/>
      <c r="D39" s="120"/>
      <c r="E39" s="120"/>
    </row>
    <row r="41" spans="1:5" x14ac:dyDescent="0.25">
      <c r="C41" s="133"/>
      <c r="D41" s="133"/>
      <c r="E41" s="133"/>
    </row>
    <row r="43" spans="1:5" x14ac:dyDescent="0.25">
      <c r="C43" s="145"/>
      <c r="D43" s="145"/>
      <c r="E43" s="145"/>
    </row>
    <row r="44" spans="1:5" x14ac:dyDescent="0.25">
      <c r="B44" s="122"/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Приложение_1</vt:lpstr>
      <vt:lpstr>Приложение 2</vt:lpstr>
      <vt:lpstr>Приложение 3</vt:lpstr>
      <vt:lpstr>Приложение 4</vt:lpstr>
      <vt:lpstr>Приложение 5</vt:lpstr>
      <vt:lpstr>Приложение_1!Область_печати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ТолмачеваС</dc:creator>
  <cp:lastModifiedBy>Седых Татьяна Михайловна</cp:lastModifiedBy>
  <cp:lastPrinted>2022-11-17T09:35:52Z</cp:lastPrinted>
  <dcterms:created xsi:type="dcterms:W3CDTF">2020-12-18T04:06:31Z</dcterms:created>
  <dcterms:modified xsi:type="dcterms:W3CDTF">2022-11-17T09:36:26Z</dcterms:modified>
</cp:coreProperties>
</file>